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180" windowWidth="28800" windowHeight="11955" activeTab="6"/>
  </bookViews>
  <sheets>
    <sheet name="დანართი 1" sheetId="9" r:id="rId1"/>
    <sheet name="დანართი 2 ცხრილი-1" sheetId="2" r:id="rId2"/>
    <sheet name="დანართი 2 ცხრილი-2" sheetId="3" r:id="rId3"/>
    <sheet name="დანართი 2 ცხრილი-3" sheetId="4" r:id="rId4"/>
    <sheet name="დანართი 3" sheetId="7" r:id="rId5"/>
    <sheet name="დანართი 4 ცხრილი 1" sheetId="8" r:id="rId6"/>
    <sheet name="დანართი 5" sheetId="1" r:id="rId7"/>
    <sheet name="Sheet1" sheetId="13" r:id="rId8"/>
    <sheet name="დანართი 6" sheetId="6" r:id="rId9"/>
    <sheet name="Sheet2" sheetId="10" r:id="rId10"/>
    <sheet name="Sheet3" sheetId="11" r:id="rId11"/>
    <sheet name="Sheet4" sheetId="12" r:id="rId12"/>
  </sheets>
  <externalReferences>
    <externalReference r:id="rId13"/>
  </externalReferences>
  <definedNames>
    <definedName name="_xlnm._FilterDatabase" localSheetId="3" hidden="1">'დანართი 2 ცხრილი-3'!$A$7:$AJ$239</definedName>
    <definedName name="_xlnm.Print_Area" localSheetId="8">'დანართი 6'!$B$1:$J$4</definedName>
  </definedNames>
  <calcPr calcId="162913"/>
</workbook>
</file>

<file path=xl/calcChain.xml><?xml version="1.0" encoding="utf-8"?>
<calcChain xmlns="http://schemas.openxmlformats.org/spreadsheetml/2006/main">
  <c r="R424" i="13" l="1"/>
  <c r="S424" i="13" s="1"/>
  <c r="R423" i="13"/>
  <c r="R422" i="13" s="1"/>
  <c r="R421" i="13" s="1"/>
  <c r="Q422" i="13"/>
  <c r="P422" i="13"/>
  <c r="P421" i="13" s="1"/>
  <c r="O422" i="13"/>
  <c r="O421" i="13" s="1"/>
  <c r="N422" i="13"/>
  <c r="M422" i="13"/>
  <c r="M421" i="13" s="1"/>
  <c r="L422" i="13"/>
  <c r="L421" i="13" s="1"/>
  <c r="K422" i="13"/>
  <c r="K421" i="13" s="1"/>
  <c r="J422" i="13"/>
  <c r="J421" i="13" s="1"/>
  <c r="I422" i="13"/>
  <c r="I421" i="13" s="1"/>
  <c r="H422" i="13"/>
  <c r="H421" i="13" s="1"/>
  <c r="G422" i="13"/>
  <c r="G421" i="13" s="1"/>
  <c r="F422" i="13"/>
  <c r="E422" i="13"/>
  <c r="E421" i="13" s="1"/>
  <c r="D422" i="13"/>
  <c r="D421" i="13" s="1"/>
  <c r="C422" i="13"/>
  <c r="C421" i="13" s="1"/>
  <c r="Q421" i="13"/>
  <c r="N421" i="13"/>
  <c r="F421" i="13"/>
  <c r="S419" i="13"/>
  <c r="R419" i="13"/>
  <c r="S418" i="13"/>
  <c r="R418" i="13"/>
  <c r="S417" i="13"/>
  <c r="S416" i="13" s="1"/>
  <c r="S415" i="13" s="1"/>
  <c r="R417" i="13"/>
  <c r="R416" i="13"/>
  <c r="R415" i="13" s="1"/>
  <c r="Q416" i="13"/>
  <c r="Q415" i="13" s="1"/>
  <c r="P416" i="13"/>
  <c r="P415" i="13" s="1"/>
  <c r="O416" i="13"/>
  <c r="O415" i="13" s="1"/>
  <c r="N416" i="13"/>
  <c r="M416" i="13"/>
  <c r="M415" i="13" s="1"/>
  <c r="L416" i="13"/>
  <c r="K416" i="13"/>
  <c r="K415" i="13" s="1"/>
  <c r="J416" i="13"/>
  <c r="J415" i="13" s="1"/>
  <c r="I416" i="13"/>
  <c r="I415" i="13" s="1"/>
  <c r="H416" i="13"/>
  <c r="H415" i="13" s="1"/>
  <c r="G416" i="13"/>
  <c r="G415" i="13" s="1"/>
  <c r="F416" i="13"/>
  <c r="E416" i="13"/>
  <c r="E415" i="13" s="1"/>
  <c r="D416" i="13"/>
  <c r="C416" i="13"/>
  <c r="C415" i="13" s="1"/>
  <c r="N415" i="13"/>
  <c r="L415" i="13"/>
  <c r="F415" i="13"/>
  <c r="D415" i="13"/>
  <c r="S413" i="13"/>
  <c r="R413" i="13"/>
  <c r="J412" i="13"/>
  <c r="R412" i="13" s="1"/>
  <c r="Q411" i="13"/>
  <c r="P411" i="13"/>
  <c r="P410" i="13" s="1"/>
  <c r="O411" i="13"/>
  <c r="O410" i="13" s="1"/>
  <c r="N411" i="13"/>
  <c r="N410" i="13" s="1"/>
  <c r="M411" i="13"/>
  <c r="L411" i="13"/>
  <c r="L410" i="13" s="1"/>
  <c r="K411" i="13"/>
  <c r="J411" i="13"/>
  <c r="J410" i="13" s="1"/>
  <c r="I411" i="13"/>
  <c r="I410" i="13" s="1"/>
  <c r="H411" i="13"/>
  <c r="H410" i="13" s="1"/>
  <c r="G411" i="13"/>
  <c r="G410" i="13" s="1"/>
  <c r="F411" i="13"/>
  <c r="F410" i="13" s="1"/>
  <c r="E411" i="13"/>
  <c r="D411" i="13"/>
  <c r="D410" i="13" s="1"/>
  <c r="C411" i="13"/>
  <c r="Q410" i="13"/>
  <c r="M410" i="13"/>
  <c r="K410" i="13"/>
  <c r="E410" i="13"/>
  <c r="C410" i="13"/>
  <c r="R408" i="13"/>
  <c r="R407" i="13" s="1"/>
  <c r="R406" i="13" s="1"/>
  <c r="Q407" i="13"/>
  <c r="P407" i="13"/>
  <c r="P406" i="13" s="1"/>
  <c r="O407" i="13"/>
  <c r="N407" i="13"/>
  <c r="M407" i="13"/>
  <c r="M406" i="13" s="1"/>
  <c r="L407" i="13"/>
  <c r="L406" i="13" s="1"/>
  <c r="K407" i="13"/>
  <c r="K406" i="13" s="1"/>
  <c r="J407" i="13"/>
  <c r="J406" i="13" s="1"/>
  <c r="I407" i="13"/>
  <c r="H407" i="13"/>
  <c r="H406" i="13" s="1"/>
  <c r="G407" i="13"/>
  <c r="F407" i="13"/>
  <c r="F406" i="13" s="1"/>
  <c r="E407" i="13"/>
  <c r="E406" i="13" s="1"/>
  <c r="D407" i="13"/>
  <c r="D406" i="13" s="1"/>
  <c r="C407" i="13"/>
  <c r="C406" i="13" s="1"/>
  <c r="Q406" i="13"/>
  <c r="O406" i="13"/>
  <c r="N406" i="13"/>
  <c r="I406" i="13"/>
  <c r="G406" i="13"/>
  <c r="R404" i="13"/>
  <c r="S404" i="13" s="1"/>
  <c r="R403" i="13"/>
  <c r="S403" i="13" s="1"/>
  <c r="R402" i="13"/>
  <c r="Q401" i="13"/>
  <c r="P401" i="13"/>
  <c r="P400" i="13" s="1"/>
  <c r="O401" i="13"/>
  <c r="N401" i="13"/>
  <c r="N400" i="13" s="1"/>
  <c r="M401" i="13"/>
  <c r="M400" i="13" s="1"/>
  <c r="L401" i="13"/>
  <c r="K401" i="13"/>
  <c r="K400" i="13" s="1"/>
  <c r="J401" i="13"/>
  <c r="J400" i="13" s="1"/>
  <c r="I401" i="13"/>
  <c r="I400" i="13" s="1"/>
  <c r="H401" i="13"/>
  <c r="H400" i="13" s="1"/>
  <c r="G401" i="13"/>
  <c r="F401" i="13"/>
  <c r="F400" i="13" s="1"/>
  <c r="E401" i="13"/>
  <c r="E400" i="13" s="1"/>
  <c r="D401" i="13"/>
  <c r="D400" i="13" s="1"/>
  <c r="C401" i="13"/>
  <c r="C400" i="13" s="1"/>
  <c r="Q400" i="13"/>
  <c r="O400" i="13"/>
  <c r="L400" i="13"/>
  <c r="G400" i="13"/>
  <c r="R398" i="13"/>
  <c r="S398" i="13" s="1"/>
  <c r="R397" i="13"/>
  <c r="S397" i="13" s="1"/>
  <c r="R396" i="13"/>
  <c r="S396" i="13" s="1"/>
  <c r="R395" i="13"/>
  <c r="R394" i="13" s="1"/>
  <c r="R393" i="13" s="1"/>
  <c r="Q394" i="13"/>
  <c r="P394" i="13"/>
  <c r="P393" i="13" s="1"/>
  <c r="O394" i="13"/>
  <c r="O393" i="13" s="1"/>
  <c r="N394" i="13"/>
  <c r="N393" i="13" s="1"/>
  <c r="M394" i="13"/>
  <c r="M393" i="13" s="1"/>
  <c r="L394" i="13"/>
  <c r="L393" i="13" s="1"/>
  <c r="K394" i="13"/>
  <c r="J394" i="13"/>
  <c r="J393" i="13" s="1"/>
  <c r="I394" i="13"/>
  <c r="H394" i="13"/>
  <c r="H393" i="13" s="1"/>
  <c r="G394" i="13"/>
  <c r="F394" i="13"/>
  <c r="F393" i="13" s="1"/>
  <c r="E394" i="13"/>
  <c r="E393" i="13" s="1"/>
  <c r="D394" i="13"/>
  <c r="D393" i="13" s="1"/>
  <c r="C394" i="13"/>
  <c r="Q393" i="13"/>
  <c r="K393" i="13"/>
  <c r="I393" i="13"/>
  <c r="G393" i="13"/>
  <c r="C393" i="13"/>
  <c r="R391" i="13"/>
  <c r="S391" i="13" s="1"/>
  <c r="S390" i="13"/>
  <c r="S389" i="13" s="1"/>
  <c r="R390" i="13"/>
  <c r="Q390" i="13"/>
  <c r="Q389" i="13" s="1"/>
  <c r="P390" i="13"/>
  <c r="P389" i="13" s="1"/>
  <c r="O390" i="13"/>
  <c r="N390" i="13"/>
  <c r="N389" i="13" s="1"/>
  <c r="M390" i="13"/>
  <c r="M389" i="13" s="1"/>
  <c r="L390" i="13"/>
  <c r="K390" i="13"/>
  <c r="K389" i="13" s="1"/>
  <c r="J390" i="13"/>
  <c r="J389" i="13" s="1"/>
  <c r="I390" i="13"/>
  <c r="I389" i="13" s="1"/>
  <c r="H390" i="13"/>
  <c r="H389" i="13" s="1"/>
  <c r="G390" i="13"/>
  <c r="G389" i="13" s="1"/>
  <c r="F390" i="13"/>
  <c r="F389" i="13" s="1"/>
  <c r="E390" i="13"/>
  <c r="D390" i="13"/>
  <c r="C390" i="13"/>
  <c r="R389" i="13"/>
  <c r="O389" i="13"/>
  <c r="L389" i="13"/>
  <c r="E389" i="13"/>
  <c r="D389" i="13"/>
  <c r="C389" i="13"/>
  <c r="R387" i="13"/>
  <c r="R385" i="13" s="1"/>
  <c r="R384" i="13" s="1"/>
  <c r="R386" i="13"/>
  <c r="S386" i="13" s="1"/>
  <c r="Q385" i="13"/>
  <c r="Q384" i="13" s="1"/>
  <c r="P385" i="13"/>
  <c r="P384" i="13" s="1"/>
  <c r="O385" i="13"/>
  <c r="O384" i="13" s="1"/>
  <c r="N385" i="13"/>
  <c r="N384" i="13" s="1"/>
  <c r="M385" i="13"/>
  <c r="L385" i="13"/>
  <c r="L384" i="13" s="1"/>
  <c r="K385" i="13"/>
  <c r="J385" i="13"/>
  <c r="I385" i="13"/>
  <c r="I384" i="13" s="1"/>
  <c r="H385" i="13"/>
  <c r="H384" i="13" s="1"/>
  <c r="G385" i="13"/>
  <c r="G384" i="13" s="1"/>
  <c r="F385" i="13"/>
  <c r="F384" i="13" s="1"/>
  <c r="E385" i="13"/>
  <c r="D385" i="13"/>
  <c r="D384" i="13" s="1"/>
  <c r="C385" i="13"/>
  <c r="M384" i="13"/>
  <c r="K384" i="13"/>
  <c r="J384" i="13"/>
  <c r="E384" i="13"/>
  <c r="C384" i="13"/>
  <c r="R382" i="13"/>
  <c r="S382" i="13" s="1"/>
  <c r="R381" i="13"/>
  <c r="S381" i="13" s="1"/>
  <c r="R380" i="13"/>
  <c r="S380" i="13" s="1"/>
  <c r="R379" i="13"/>
  <c r="S379" i="13" s="1"/>
  <c r="Q378" i="13"/>
  <c r="Q377" i="13" s="1"/>
  <c r="P378" i="13"/>
  <c r="P377" i="13" s="1"/>
  <c r="O378" i="13"/>
  <c r="N378" i="13"/>
  <c r="N377" i="13" s="1"/>
  <c r="M378" i="13"/>
  <c r="M377" i="13" s="1"/>
  <c r="L378" i="13"/>
  <c r="K378" i="13"/>
  <c r="K377" i="13" s="1"/>
  <c r="J378" i="13"/>
  <c r="J377" i="13" s="1"/>
  <c r="I378" i="13"/>
  <c r="I377" i="13" s="1"/>
  <c r="H378" i="13"/>
  <c r="H377" i="13" s="1"/>
  <c r="G378" i="13"/>
  <c r="F378" i="13"/>
  <c r="F377" i="13" s="1"/>
  <c r="E378" i="13"/>
  <c r="D378" i="13"/>
  <c r="C378" i="13"/>
  <c r="O377" i="13"/>
  <c r="L377" i="13"/>
  <c r="G377" i="13"/>
  <c r="E377" i="13"/>
  <c r="D377" i="13"/>
  <c r="C377" i="13"/>
  <c r="R375" i="13"/>
  <c r="S375" i="13" s="1"/>
  <c r="R374" i="13"/>
  <c r="S374" i="13" s="1"/>
  <c r="Q373" i="13"/>
  <c r="Q372" i="13" s="1"/>
  <c r="P373" i="13"/>
  <c r="P372" i="13" s="1"/>
  <c r="O373" i="13"/>
  <c r="O372" i="13" s="1"/>
  <c r="N373" i="13"/>
  <c r="N372" i="13" s="1"/>
  <c r="M373" i="13"/>
  <c r="L373" i="13"/>
  <c r="L372" i="13" s="1"/>
  <c r="K373" i="13"/>
  <c r="J373" i="13"/>
  <c r="I373" i="13"/>
  <c r="I372" i="13" s="1"/>
  <c r="H373" i="13"/>
  <c r="H372" i="13" s="1"/>
  <c r="G373" i="13"/>
  <c r="G372" i="13" s="1"/>
  <c r="F373" i="13"/>
  <c r="F372" i="13" s="1"/>
  <c r="E373" i="13"/>
  <c r="D373" i="13"/>
  <c r="D372" i="13" s="1"/>
  <c r="C373" i="13"/>
  <c r="M372" i="13"/>
  <c r="K372" i="13"/>
  <c r="J372" i="13"/>
  <c r="E372" i="13"/>
  <c r="C372" i="13"/>
  <c r="S370" i="13"/>
  <c r="S369" i="13" s="1"/>
  <c r="S368" i="13" s="1"/>
  <c r="R370" i="13"/>
  <c r="Q369" i="13"/>
  <c r="Q368" i="13" s="1"/>
  <c r="P369" i="13"/>
  <c r="P368" i="13" s="1"/>
  <c r="O369" i="13"/>
  <c r="N369" i="13"/>
  <c r="N368" i="13" s="1"/>
  <c r="M369" i="13"/>
  <c r="M368" i="13" s="1"/>
  <c r="L369" i="13"/>
  <c r="L368" i="13" s="1"/>
  <c r="K369" i="13"/>
  <c r="K368" i="13" s="1"/>
  <c r="J369" i="13"/>
  <c r="J368" i="13" s="1"/>
  <c r="I369" i="13"/>
  <c r="I368" i="13" s="1"/>
  <c r="H369" i="13"/>
  <c r="H368" i="13" s="1"/>
  <c r="G369" i="13"/>
  <c r="F369" i="13"/>
  <c r="E369" i="13"/>
  <c r="D369" i="13"/>
  <c r="C369" i="13"/>
  <c r="C368" i="13" s="1"/>
  <c r="O368" i="13"/>
  <c r="G368" i="13"/>
  <c r="F368" i="13"/>
  <c r="E368" i="13"/>
  <c r="D368" i="13"/>
  <c r="R366" i="13"/>
  <c r="S366" i="13" s="1"/>
  <c r="R365" i="13"/>
  <c r="S365" i="13" s="1"/>
  <c r="S364" i="13"/>
  <c r="S363" i="13" s="1"/>
  <c r="R364" i="13"/>
  <c r="Q364" i="13"/>
  <c r="Q363" i="13" s="1"/>
  <c r="P364" i="13"/>
  <c r="P363" i="13" s="1"/>
  <c r="O364" i="13"/>
  <c r="O363" i="13" s="1"/>
  <c r="N364" i="13"/>
  <c r="N363" i="13" s="1"/>
  <c r="M364" i="13"/>
  <c r="L364" i="13"/>
  <c r="K364" i="13"/>
  <c r="K363" i="13" s="1"/>
  <c r="J364" i="13"/>
  <c r="J363" i="13" s="1"/>
  <c r="I364" i="13"/>
  <c r="I363" i="13" s="1"/>
  <c r="H364" i="13"/>
  <c r="H363" i="13" s="1"/>
  <c r="G364" i="13"/>
  <c r="G363" i="13" s="1"/>
  <c r="F364" i="13"/>
  <c r="F363" i="13" s="1"/>
  <c r="E364" i="13"/>
  <c r="D364" i="13"/>
  <c r="C364" i="13"/>
  <c r="R363" i="13"/>
  <c r="M363" i="13"/>
  <c r="L363" i="13"/>
  <c r="E363" i="13"/>
  <c r="D363" i="13"/>
  <c r="C363" i="13"/>
  <c r="S361" i="13"/>
  <c r="R361" i="13"/>
  <c r="R360" i="13" s="1"/>
  <c r="R359" i="13" s="1"/>
  <c r="Q360" i="13"/>
  <c r="P360" i="13"/>
  <c r="P359" i="13" s="1"/>
  <c r="O360" i="13"/>
  <c r="O359" i="13" s="1"/>
  <c r="N360" i="13"/>
  <c r="M360" i="13"/>
  <c r="M359" i="13" s="1"/>
  <c r="L360" i="13"/>
  <c r="L359" i="13" s="1"/>
  <c r="K360" i="13"/>
  <c r="J360" i="13"/>
  <c r="J359" i="13" s="1"/>
  <c r="I360" i="13"/>
  <c r="H360" i="13"/>
  <c r="H359" i="13" s="1"/>
  <c r="G360" i="13"/>
  <c r="F360" i="13"/>
  <c r="E360" i="13"/>
  <c r="E359" i="13" s="1"/>
  <c r="D360" i="13"/>
  <c r="D359" i="13" s="1"/>
  <c r="C360" i="13"/>
  <c r="C359" i="13" s="1"/>
  <c r="Q359" i="13"/>
  <c r="N359" i="13"/>
  <c r="K359" i="13"/>
  <c r="I359" i="13"/>
  <c r="G359" i="13"/>
  <c r="F359" i="13"/>
  <c r="Q357" i="13"/>
  <c r="Q304" i="13" s="1"/>
  <c r="P357" i="13"/>
  <c r="O357" i="13"/>
  <c r="O304" i="13" s="1"/>
  <c r="N357" i="13"/>
  <c r="M357" i="13"/>
  <c r="M304" i="13" s="1"/>
  <c r="L357" i="13"/>
  <c r="K357" i="13"/>
  <c r="J357" i="13"/>
  <c r="I357" i="13"/>
  <c r="I304" i="13" s="1"/>
  <c r="H357" i="13"/>
  <c r="G357" i="13"/>
  <c r="G304" i="13" s="1"/>
  <c r="F357" i="13"/>
  <c r="E357" i="13"/>
  <c r="E304" i="13" s="1"/>
  <c r="D357" i="13"/>
  <c r="C357" i="13"/>
  <c r="Q356" i="13"/>
  <c r="P356" i="13"/>
  <c r="O356" i="13"/>
  <c r="N356" i="13"/>
  <c r="M356" i="13"/>
  <c r="M353" i="13" s="1"/>
  <c r="M352" i="13" s="1"/>
  <c r="L356" i="13"/>
  <c r="K356" i="13"/>
  <c r="J356" i="13"/>
  <c r="I356" i="13"/>
  <c r="I303" i="13" s="1"/>
  <c r="H356" i="13"/>
  <c r="G356" i="13"/>
  <c r="F356" i="13"/>
  <c r="E356" i="13"/>
  <c r="E353" i="13" s="1"/>
  <c r="E352" i="13" s="1"/>
  <c r="D356" i="13"/>
  <c r="C356" i="13"/>
  <c r="Q355" i="13"/>
  <c r="P355" i="13"/>
  <c r="P353" i="13" s="1"/>
  <c r="P352" i="13" s="1"/>
  <c r="O355" i="13"/>
  <c r="N355" i="13"/>
  <c r="M355" i="13"/>
  <c r="L355" i="13"/>
  <c r="L353" i="13" s="1"/>
  <c r="L352" i="13" s="1"/>
  <c r="K355" i="13"/>
  <c r="J355" i="13"/>
  <c r="I355" i="13"/>
  <c r="H355" i="13"/>
  <c r="H353" i="13" s="1"/>
  <c r="H352" i="13" s="1"/>
  <c r="G355" i="13"/>
  <c r="F355" i="13"/>
  <c r="E355" i="13"/>
  <c r="D355" i="13"/>
  <c r="D302" i="13" s="1"/>
  <c r="C355" i="13"/>
  <c r="Q354" i="13"/>
  <c r="P354" i="13"/>
  <c r="O354" i="13"/>
  <c r="O353" i="13" s="1"/>
  <c r="O352" i="13" s="1"/>
  <c r="N354" i="13"/>
  <c r="M354" i="13"/>
  <c r="L354" i="13"/>
  <c r="K354" i="13"/>
  <c r="J354" i="13"/>
  <c r="J353" i="13" s="1"/>
  <c r="J352" i="13" s="1"/>
  <c r="I354" i="13"/>
  <c r="H354" i="13"/>
  <c r="G354" i="13"/>
  <c r="G353" i="13" s="1"/>
  <c r="G352" i="13" s="1"/>
  <c r="F354" i="13"/>
  <c r="E354" i="13"/>
  <c r="D354" i="13"/>
  <c r="C354" i="13"/>
  <c r="C301" i="13" s="1"/>
  <c r="N353" i="13"/>
  <c r="N352" i="13" s="1"/>
  <c r="F353" i="13"/>
  <c r="F352" i="13" s="1"/>
  <c r="R350" i="13"/>
  <c r="S350" i="13" s="1"/>
  <c r="S321" i="13" s="1"/>
  <c r="S305" i="13" s="1"/>
  <c r="R349" i="13"/>
  <c r="R348" i="13"/>
  <c r="S348" i="13" s="1"/>
  <c r="S347" i="13"/>
  <c r="R347" i="13"/>
  <c r="Q346" i="13"/>
  <c r="P346" i="13"/>
  <c r="P345" i="13" s="1"/>
  <c r="O346" i="13"/>
  <c r="O345" i="13" s="1"/>
  <c r="N346" i="13"/>
  <c r="M346" i="13"/>
  <c r="M345" i="13" s="1"/>
  <c r="L346" i="13"/>
  <c r="L345" i="13" s="1"/>
  <c r="K346" i="13"/>
  <c r="J346" i="13"/>
  <c r="J345" i="13" s="1"/>
  <c r="I346" i="13"/>
  <c r="H346" i="13"/>
  <c r="H345" i="13" s="1"/>
  <c r="G346" i="13"/>
  <c r="G345" i="13" s="1"/>
  <c r="F346" i="13"/>
  <c r="F345" i="13" s="1"/>
  <c r="E346" i="13"/>
  <c r="E345" i="13" s="1"/>
  <c r="D346" i="13"/>
  <c r="D345" i="13" s="1"/>
  <c r="C346" i="13"/>
  <c r="C345" i="13" s="1"/>
  <c r="Q345" i="13"/>
  <c r="N345" i="13"/>
  <c r="K345" i="13"/>
  <c r="I345" i="13"/>
  <c r="R343" i="13"/>
  <c r="R342" i="13"/>
  <c r="Q341" i="13"/>
  <c r="P341" i="13"/>
  <c r="P340" i="13" s="1"/>
  <c r="O341" i="13"/>
  <c r="O340" i="13" s="1"/>
  <c r="N341" i="13"/>
  <c r="N340" i="13" s="1"/>
  <c r="M341" i="13"/>
  <c r="M340" i="13" s="1"/>
  <c r="L341" i="13"/>
  <c r="L340" i="13" s="1"/>
  <c r="K341" i="13"/>
  <c r="K340" i="13" s="1"/>
  <c r="J341" i="13"/>
  <c r="J340" i="13" s="1"/>
  <c r="I341" i="13"/>
  <c r="H341" i="13"/>
  <c r="H340" i="13" s="1"/>
  <c r="G341" i="13"/>
  <c r="F341" i="13"/>
  <c r="E341" i="13"/>
  <c r="D341" i="13"/>
  <c r="D340" i="13" s="1"/>
  <c r="C341" i="13"/>
  <c r="C340" i="13" s="1"/>
  <c r="Q340" i="13"/>
  <c r="I340" i="13"/>
  <c r="G340" i="13"/>
  <c r="F340" i="13"/>
  <c r="E340" i="13"/>
  <c r="R338" i="13"/>
  <c r="S338" i="13" s="1"/>
  <c r="R337" i="13"/>
  <c r="S337" i="13" s="1"/>
  <c r="Q336" i="13"/>
  <c r="Q335" i="13" s="1"/>
  <c r="P336" i="13"/>
  <c r="P335" i="13" s="1"/>
  <c r="O336" i="13"/>
  <c r="O335" i="13" s="1"/>
  <c r="N336" i="13"/>
  <c r="N335" i="13" s="1"/>
  <c r="M336" i="13"/>
  <c r="L336" i="13"/>
  <c r="L335" i="13" s="1"/>
  <c r="K336" i="13"/>
  <c r="K335" i="13" s="1"/>
  <c r="J336" i="13"/>
  <c r="J335" i="13" s="1"/>
  <c r="I336" i="13"/>
  <c r="I335" i="13" s="1"/>
  <c r="H336" i="13"/>
  <c r="H335" i="13" s="1"/>
  <c r="G336" i="13"/>
  <c r="F336" i="13"/>
  <c r="F335" i="13" s="1"/>
  <c r="E336" i="13"/>
  <c r="D336" i="13"/>
  <c r="C336" i="13"/>
  <c r="C335" i="13" s="1"/>
  <c r="M335" i="13"/>
  <c r="G335" i="13"/>
  <c r="E335" i="13"/>
  <c r="D335" i="13"/>
  <c r="S333" i="13"/>
  <c r="S332" i="13" s="1"/>
  <c r="S331" i="13" s="1"/>
  <c r="R333" i="13"/>
  <c r="R332" i="13" s="1"/>
  <c r="R331" i="13" s="1"/>
  <c r="Q332" i="13"/>
  <c r="P332" i="13"/>
  <c r="P331" i="13" s="1"/>
  <c r="O332" i="13"/>
  <c r="O331" i="13" s="1"/>
  <c r="N332" i="13"/>
  <c r="N331" i="13" s="1"/>
  <c r="M332" i="13"/>
  <c r="M331" i="13" s="1"/>
  <c r="L332" i="13"/>
  <c r="L331" i="13" s="1"/>
  <c r="K332" i="13"/>
  <c r="K331" i="13" s="1"/>
  <c r="J332" i="13"/>
  <c r="J331" i="13" s="1"/>
  <c r="I332" i="13"/>
  <c r="H332" i="13"/>
  <c r="G332" i="13"/>
  <c r="G331" i="13" s="1"/>
  <c r="F332" i="13"/>
  <c r="F331" i="13" s="1"/>
  <c r="E332" i="13"/>
  <c r="E331" i="13" s="1"/>
  <c r="D332" i="13"/>
  <c r="D331" i="13" s="1"/>
  <c r="C332" i="13"/>
  <c r="C331" i="13" s="1"/>
  <c r="Q331" i="13"/>
  <c r="I331" i="13"/>
  <c r="H331" i="13"/>
  <c r="R329" i="13"/>
  <c r="S329" i="13" s="1"/>
  <c r="S328" i="13" s="1"/>
  <c r="S327" i="13" s="1"/>
  <c r="Q328" i="13"/>
  <c r="P328" i="13"/>
  <c r="P327" i="13" s="1"/>
  <c r="O328" i="13"/>
  <c r="N328" i="13"/>
  <c r="N327" i="13" s="1"/>
  <c r="M328" i="13"/>
  <c r="L328" i="13"/>
  <c r="L327" i="13" s="1"/>
  <c r="K328" i="13"/>
  <c r="K327" i="13" s="1"/>
  <c r="J328" i="13"/>
  <c r="I328" i="13"/>
  <c r="H328" i="13"/>
  <c r="H327" i="13" s="1"/>
  <c r="G328" i="13"/>
  <c r="F328" i="13"/>
  <c r="F327" i="13" s="1"/>
  <c r="E328" i="13"/>
  <c r="D328" i="13"/>
  <c r="D327" i="13" s="1"/>
  <c r="C328" i="13"/>
  <c r="C327" i="13" s="1"/>
  <c r="Q327" i="13"/>
  <c r="O327" i="13"/>
  <c r="M327" i="13"/>
  <c r="J327" i="13"/>
  <c r="I327" i="13"/>
  <c r="G327" i="13"/>
  <c r="E327" i="13"/>
  <c r="S325" i="13"/>
  <c r="S324" i="13" s="1"/>
  <c r="S323" i="13" s="1"/>
  <c r="R325" i="13"/>
  <c r="R324" i="13" s="1"/>
  <c r="R323" i="13" s="1"/>
  <c r="Q324" i="13"/>
  <c r="P324" i="13"/>
  <c r="P323" i="13" s="1"/>
  <c r="O324" i="13"/>
  <c r="O323" i="13" s="1"/>
  <c r="N324" i="13"/>
  <c r="N323" i="13" s="1"/>
  <c r="M324" i="13"/>
  <c r="L324" i="13"/>
  <c r="L323" i="13" s="1"/>
  <c r="K324" i="13"/>
  <c r="K323" i="13" s="1"/>
  <c r="J324" i="13"/>
  <c r="J323" i="13" s="1"/>
  <c r="I324" i="13"/>
  <c r="H324" i="13"/>
  <c r="H323" i="13" s="1"/>
  <c r="G324" i="13"/>
  <c r="G323" i="13" s="1"/>
  <c r="F324" i="13"/>
  <c r="F323" i="13" s="1"/>
  <c r="E324" i="13"/>
  <c r="D324" i="13"/>
  <c r="D323" i="13" s="1"/>
  <c r="C324" i="13"/>
  <c r="C323" i="13" s="1"/>
  <c r="Q323" i="13"/>
  <c r="M323" i="13"/>
  <c r="I323" i="13"/>
  <c r="E323" i="13"/>
  <c r="R321" i="13"/>
  <c r="R305" i="13" s="1"/>
  <c r="Q321" i="13"/>
  <c r="P321" i="13"/>
  <c r="P305" i="13" s="1"/>
  <c r="O321" i="13"/>
  <c r="O305" i="13" s="1"/>
  <c r="N321" i="13"/>
  <c r="N305" i="13" s="1"/>
  <c r="M321" i="13"/>
  <c r="L321" i="13"/>
  <c r="L305" i="13" s="1"/>
  <c r="K321" i="13"/>
  <c r="K305" i="13" s="1"/>
  <c r="J321" i="13"/>
  <c r="J305" i="13" s="1"/>
  <c r="I321" i="13"/>
  <c r="H321" i="13"/>
  <c r="H305" i="13" s="1"/>
  <c r="G321" i="13"/>
  <c r="G305" i="13" s="1"/>
  <c r="F321" i="13"/>
  <c r="F305" i="13" s="1"/>
  <c r="E321" i="13"/>
  <c r="D321" i="13"/>
  <c r="D305" i="13" s="1"/>
  <c r="C321" i="13"/>
  <c r="C305" i="13" s="1"/>
  <c r="Q320" i="13"/>
  <c r="P320" i="13"/>
  <c r="O320" i="13"/>
  <c r="O303" i="13" s="1"/>
  <c r="N320" i="13"/>
  <c r="N303" i="13" s="1"/>
  <c r="M320" i="13"/>
  <c r="L320" i="13"/>
  <c r="K320" i="13"/>
  <c r="K317" i="13" s="1"/>
  <c r="K316" i="13" s="1"/>
  <c r="J320" i="13"/>
  <c r="J303" i="13" s="1"/>
  <c r="I320" i="13"/>
  <c r="H320" i="13"/>
  <c r="G320" i="13"/>
  <c r="G303" i="13" s="1"/>
  <c r="F320" i="13"/>
  <c r="E320" i="13"/>
  <c r="D320" i="13"/>
  <c r="C320" i="13"/>
  <c r="C317" i="13" s="1"/>
  <c r="C316" i="13" s="1"/>
  <c r="Q319" i="13"/>
  <c r="Q302" i="13" s="1"/>
  <c r="P319" i="13"/>
  <c r="O319" i="13"/>
  <c r="N319" i="13"/>
  <c r="N302" i="13" s="1"/>
  <c r="M319" i="13"/>
  <c r="M302" i="13" s="1"/>
  <c r="L319" i="13"/>
  <c r="K319" i="13"/>
  <c r="K302" i="13" s="1"/>
  <c r="J319" i="13"/>
  <c r="J302" i="13" s="1"/>
  <c r="I319" i="13"/>
  <c r="I302" i="13" s="1"/>
  <c r="H319" i="13"/>
  <c r="G319" i="13"/>
  <c r="F319" i="13"/>
  <c r="E319" i="13"/>
  <c r="D319" i="13"/>
  <c r="C319" i="13"/>
  <c r="C302" i="13" s="1"/>
  <c r="R318" i="13"/>
  <c r="Q318" i="13"/>
  <c r="Q301" i="13" s="1"/>
  <c r="Q300" i="13" s="1"/>
  <c r="P318" i="13"/>
  <c r="O318" i="13"/>
  <c r="N318" i="13"/>
  <c r="N301" i="13" s="1"/>
  <c r="M318" i="13"/>
  <c r="M317" i="13" s="1"/>
  <c r="M316" i="13" s="1"/>
  <c r="L318" i="13"/>
  <c r="L301" i="13" s="1"/>
  <c r="K318" i="13"/>
  <c r="J318" i="13"/>
  <c r="I318" i="13"/>
  <c r="H318" i="13"/>
  <c r="G318" i="13"/>
  <c r="F318" i="13"/>
  <c r="F317" i="13" s="1"/>
  <c r="F316" i="13" s="1"/>
  <c r="E318" i="13"/>
  <c r="D318" i="13"/>
  <c r="D301" i="13" s="1"/>
  <c r="C318" i="13"/>
  <c r="N317" i="13"/>
  <c r="N316" i="13" s="1"/>
  <c r="R314" i="13"/>
  <c r="S314" i="13" s="1"/>
  <c r="S306" i="13" s="1"/>
  <c r="R313" i="13"/>
  <c r="S313" i="13" s="1"/>
  <c r="R312" i="13"/>
  <c r="S312" i="13" s="1"/>
  <c r="S311" i="13"/>
  <c r="R311" i="13"/>
  <c r="R310" i="13"/>
  <c r="Q309" i="13"/>
  <c r="Q308" i="13" s="1"/>
  <c r="P309" i="13"/>
  <c r="O309" i="13"/>
  <c r="N309" i="13"/>
  <c r="N308" i="13" s="1"/>
  <c r="M309" i="13"/>
  <c r="M308" i="13" s="1"/>
  <c r="L309" i="13"/>
  <c r="L308" i="13" s="1"/>
  <c r="K309" i="13"/>
  <c r="J309" i="13"/>
  <c r="J308" i="13" s="1"/>
  <c r="I309" i="13"/>
  <c r="H309" i="13"/>
  <c r="H308" i="13" s="1"/>
  <c r="G309" i="13"/>
  <c r="G308" i="13" s="1"/>
  <c r="F309" i="13"/>
  <c r="F308" i="13" s="1"/>
  <c r="E309" i="13"/>
  <c r="E308" i="13" s="1"/>
  <c r="D309" i="13"/>
  <c r="D308" i="13" s="1"/>
  <c r="C309" i="13"/>
  <c r="P308" i="13"/>
  <c r="O308" i="13"/>
  <c r="K308" i="13"/>
  <c r="I308" i="13"/>
  <c r="C308" i="13"/>
  <c r="R306" i="13"/>
  <c r="Q306" i="13"/>
  <c r="P306" i="13"/>
  <c r="O306" i="13"/>
  <c r="N306" i="13"/>
  <c r="M306" i="13"/>
  <c r="L306" i="13"/>
  <c r="K306" i="13"/>
  <c r="J306" i="13"/>
  <c r="I306" i="13"/>
  <c r="H306" i="13"/>
  <c r="G306" i="13"/>
  <c r="F306" i="13"/>
  <c r="E306" i="13"/>
  <c r="D306" i="13"/>
  <c r="C306" i="13"/>
  <c r="Q305" i="13"/>
  <c r="M305" i="13"/>
  <c r="I305" i="13"/>
  <c r="E305" i="13"/>
  <c r="P304" i="13"/>
  <c r="N304" i="13"/>
  <c r="L304" i="13"/>
  <c r="K304" i="13"/>
  <c r="J304" i="13"/>
  <c r="H304" i="13"/>
  <c r="F304" i="13"/>
  <c r="D304" i="13"/>
  <c r="C304" i="13"/>
  <c r="Q303" i="13"/>
  <c r="L303" i="13"/>
  <c r="F303" i="13"/>
  <c r="D303" i="13"/>
  <c r="P302" i="13"/>
  <c r="O302" i="13"/>
  <c r="L302" i="13"/>
  <c r="G302" i="13"/>
  <c r="F302" i="13"/>
  <c r="E302" i="13"/>
  <c r="P301" i="13"/>
  <c r="K301" i="13"/>
  <c r="I301" i="13"/>
  <c r="I300" i="13" s="1"/>
  <c r="I299" i="13" s="1"/>
  <c r="H301" i="13"/>
  <c r="F301" i="13"/>
  <c r="F300" i="13" s="1"/>
  <c r="R297" i="13"/>
  <c r="S297" i="13" s="1"/>
  <c r="R296" i="13"/>
  <c r="S296" i="13" s="1"/>
  <c r="R295" i="13"/>
  <c r="Q294" i="13"/>
  <c r="P294" i="13"/>
  <c r="P293" i="13" s="1"/>
  <c r="O294" i="13"/>
  <c r="O293" i="13" s="1"/>
  <c r="N294" i="13"/>
  <c r="N293" i="13" s="1"/>
  <c r="M294" i="13"/>
  <c r="L294" i="13"/>
  <c r="L293" i="13" s="1"/>
  <c r="K294" i="13"/>
  <c r="J294" i="13"/>
  <c r="I294" i="13"/>
  <c r="H294" i="13"/>
  <c r="H293" i="13" s="1"/>
  <c r="G294" i="13"/>
  <c r="F294" i="13"/>
  <c r="F293" i="13" s="1"/>
  <c r="E294" i="13"/>
  <c r="D294" i="13"/>
  <c r="D293" i="13" s="1"/>
  <c r="C294" i="13"/>
  <c r="Q293" i="13"/>
  <c r="M293" i="13"/>
  <c r="K293" i="13"/>
  <c r="J293" i="13"/>
  <c r="I293" i="13"/>
  <c r="G293" i="13"/>
  <c r="E293" i="13"/>
  <c r="C293" i="13"/>
  <c r="R291" i="13"/>
  <c r="S291" i="13" s="1"/>
  <c r="R290" i="13"/>
  <c r="R289" i="13"/>
  <c r="Q288" i="13"/>
  <c r="Q287" i="13" s="1"/>
  <c r="P288" i="13"/>
  <c r="P287" i="13" s="1"/>
  <c r="O288" i="13"/>
  <c r="N288" i="13"/>
  <c r="N287" i="13" s="1"/>
  <c r="M288" i="13"/>
  <c r="L288" i="13"/>
  <c r="L287" i="13" s="1"/>
  <c r="K288" i="13"/>
  <c r="J288" i="13"/>
  <c r="I288" i="13"/>
  <c r="H288" i="13"/>
  <c r="H287" i="13" s="1"/>
  <c r="G288" i="13"/>
  <c r="F288" i="13"/>
  <c r="F287" i="13" s="1"/>
  <c r="E288" i="13"/>
  <c r="E287" i="13" s="1"/>
  <c r="D288" i="13"/>
  <c r="D287" i="13" s="1"/>
  <c r="C288" i="13"/>
  <c r="O287" i="13"/>
  <c r="M287" i="13"/>
  <c r="K287" i="13"/>
  <c r="J287" i="13"/>
  <c r="I287" i="13"/>
  <c r="G287" i="13"/>
  <c r="C287" i="13"/>
  <c r="R285" i="13"/>
  <c r="S285" i="13" s="1"/>
  <c r="R284" i="13"/>
  <c r="S284" i="13" s="1"/>
  <c r="R283" i="13"/>
  <c r="S283" i="13" s="1"/>
  <c r="S282" i="13" s="1"/>
  <c r="S281" i="13" s="1"/>
  <c r="Q282" i="13"/>
  <c r="Q281" i="13" s="1"/>
  <c r="P282" i="13"/>
  <c r="P281" i="13" s="1"/>
  <c r="O282" i="13"/>
  <c r="O281" i="13" s="1"/>
  <c r="N282" i="13"/>
  <c r="M282" i="13"/>
  <c r="M281" i="13" s="1"/>
  <c r="L282" i="13"/>
  <c r="K282" i="13"/>
  <c r="K281" i="13" s="1"/>
  <c r="J282" i="13"/>
  <c r="J281" i="13" s="1"/>
  <c r="I282" i="13"/>
  <c r="H282" i="13"/>
  <c r="H281" i="13" s="1"/>
  <c r="G282" i="13"/>
  <c r="G281" i="13" s="1"/>
  <c r="F282" i="13"/>
  <c r="E282" i="13"/>
  <c r="E281" i="13" s="1"/>
  <c r="D282" i="13"/>
  <c r="C282" i="13"/>
  <c r="N281" i="13"/>
  <c r="L281" i="13"/>
  <c r="I281" i="13"/>
  <c r="F281" i="13"/>
  <c r="D281" i="13"/>
  <c r="C281" i="13"/>
  <c r="R279" i="13"/>
  <c r="R278" i="13"/>
  <c r="S278" i="13" s="1"/>
  <c r="R277" i="13"/>
  <c r="S277" i="13" s="1"/>
  <c r="Q276" i="13"/>
  <c r="Q275" i="13" s="1"/>
  <c r="P276" i="13"/>
  <c r="O276" i="13"/>
  <c r="O275" i="13" s="1"/>
  <c r="N276" i="13"/>
  <c r="N275" i="13" s="1"/>
  <c r="M276" i="13"/>
  <c r="M275" i="13" s="1"/>
  <c r="L276" i="13"/>
  <c r="K276" i="13"/>
  <c r="K275" i="13" s="1"/>
  <c r="J276" i="13"/>
  <c r="J275" i="13" s="1"/>
  <c r="I276" i="13"/>
  <c r="I275" i="13" s="1"/>
  <c r="H276" i="13"/>
  <c r="G276" i="13"/>
  <c r="G275" i="13" s="1"/>
  <c r="F276" i="13"/>
  <c r="E276" i="13"/>
  <c r="E275" i="13" s="1"/>
  <c r="D276" i="13"/>
  <c r="C276" i="13"/>
  <c r="P275" i="13"/>
  <c r="L275" i="13"/>
  <c r="H275" i="13"/>
  <c r="F275" i="13"/>
  <c r="D275" i="13"/>
  <c r="C275" i="13"/>
  <c r="Q273" i="13"/>
  <c r="P273" i="13"/>
  <c r="O273" i="13"/>
  <c r="O184" i="13" s="1"/>
  <c r="N273" i="13"/>
  <c r="M273" i="13"/>
  <c r="M184" i="13" s="1"/>
  <c r="L273" i="13"/>
  <c r="K273" i="13"/>
  <c r="K184" i="13" s="1"/>
  <c r="J273" i="13"/>
  <c r="I273" i="13"/>
  <c r="H273" i="13"/>
  <c r="G273" i="13"/>
  <c r="G184" i="13" s="1"/>
  <c r="F273" i="13"/>
  <c r="E273" i="13"/>
  <c r="E184" i="13" s="1"/>
  <c r="D273" i="13"/>
  <c r="C273" i="13"/>
  <c r="C184" i="13" s="1"/>
  <c r="Q272" i="13"/>
  <c r="P272" i="13"/>
  <c r="O272" i="13"/>
  <c r="N272" i="13"/>
  <c r="M272" i="13"/>
  <c r="L272" i="13"/>
  <c r="L270" i="13" s="1"/>
  <c r="L269" i="13" s="1"/>
  <c r="K272" i="13"/>
  <c r="J272" i="13"/>
  <c r="I272" i="13"/>
  <c r="H272" i="13"/>
  <c r="G272" i="13"/>
  <c r="F272" i="13"/>
  <c r="E272" i="13"/>
  <c r="D272" i="13"/>
  <c r="C272" i="13"/>
  <c r="Q271" i="13"/>
  <c r="P271" i="13"/>
  <c r="O271" i="13"/>
  <c r="O270" i="13" s="1"/>
  <c r="O269" i="13" s="1"/>
  <c r="N271" i="13"/>
  <c r="M271" i="13"/>
  <c r="L271" i="13"/>
  <c r="K271" i="13"/>
  <c r="K270" i="13" s="1"/>
  <c r="K269" i="13" s="1"/>
  <c r="J271" i="13"/>
  <c r="I271" i="13"/>
  <c r="H271" i="13"/>
  <c r="G271" i="13"/>
  <c r="G270" i="13" s="1"/>
  <c r="G269" i="13" s="1"/>
  <c r="F271" i="13"/>
  <c r="F270" i="13" s="1"/>
  <c r="F269" i="13" s="1"/>
  <c r="E271" i="13"/>
  <c r="D271" i="13"/>
  <c r="C271" i="13"/>
  <c r="C270" i="13" s="1"/>
  <c r="C269" i="13" s="1"/>
  <c r="M270" i="13"/>
  <c r="J270" i="13"/>
  <c r="J269" i="13" s="1"/>
  <c r="E270" i="13"/>
  <c r="M269" i="13"/>
  <c r="R267" i="13"/>
  <c r="Q266" i="13"/>
  <c r="P266" i="13"/>
  <c r="P265" i="13" s="1"/>
  <c r="O266" i="13"/>
  <c r="N266" i="13"/>
  <c r="N265" i="13" s="1"/>
  <c r="M266" i="13"/>
  <c r="M265" i="13" s="1"/>
  <c r="L266" i="13"/>
  <c r="L265" i="13" s="1"/>
  <c r="K266" i="13"/>
  <c r="K265" i="13" s="1"/>
  <c r="J266" i="13"/>
  <c r="J265" i="13" s="1"/>
  <c r="I266" i="13"/>
  <c r="I265" i="13" s="1"/>
  <c r="H266" i="13"/>
  <c r="H265" i="13" s="1"/>
  <c r="G266" i="13"/>
  <c r="F266" i="13"/>
  <c r="F265" i="13" s="1"/>
  <c r="E266" i="13"/>
  <c r="D266" i="13"/>
  <c r="D265" i="13" s="1"/>
  <c r="C266" i="13"/>
  <c r="C265" i="13" s="1"/>
  <c r="Q265" i="13"/>
  <c r="O265" i="13"/>
  <c r="G265" i="13"/>
  <c r="E265" i="13"/>
  <c r="R263" i="13"/>
  <c r="S263" i="13" s="1"/>
  <c r="S262" i="13" s="1"/>
  <c r="Q262" i="13"/>
  <c r="P262" i="13"/>
  <c r="O262" i="13"/>
  <c r="N262" i="13"/>
  <c r="M262" i="13"/>
  <c r="L262" i="13"/>
  <c r="L261" i="13" s="1"/>
  <c r="K262" i="13"/>
  <c r="J262" i="13"/>
  <c r="J261" i="13" s="1"/>
  <c r="I262" i="13"/>
  <c r="I261" i="13" s="1"/>
  <c r="H262" i="13"/>
  <c r="H261" i="13" s="1"/>
  <c r="G262" i="13"/>
  <c r="G261" i="13" s="1"/>
  <c r="F262" i="13"/>
  <c r="E262" i="13"/>
  <c r="D262" i="13"/>
  <c r="D261" i="13" s="1"/>
  <c r="C262" i="13"/>
  <c r="S261" i="13"/>
  <c r="Q261" i="13"/>
  <c r="P261" i="13"/>
  <c r="O261" i="13"/>
  <c r="N261" i="13"/>
  <c r="M261" i="13"/>
  <c r="K261" i="13"/>
  <c r="F261" i="13"/>
  <c r="E261" i="13"/>
  <c r="C261" i="13"/>
  <c r="R259" i="13"/>
  <c r="S259" i="13" s="1"/>
  <c r="S258" i="13"/>
  <c r="R258" i="13"/>
  <c r="R257" i="13" s="1"/>
  <c r="Q258" i="13"/>
  <c r="Q257" i="13" s="1"/>
  <c r="P258" i="13"/>
  <c r="P257" i="13" s="1"/>
  <c r="O258" i="13"/>
  <c r="O257" i="13" s="1"/>
  <c r="N258" i="13"/>
  <c r="N257" i="13" s="1"/>
  <c r="M258" i="13"/>
  <c r="L258" i="13"/>
  <c r="K258" i="13"/>
  <c r="K257" i="13" s="1"/>
  <c r="J258" i="13"/>
  <c r="J257" i="13" s="1"/>
  <c r="I258" i="13"/>
  <c r="H258" i="13"/>
  <c r="H257" i="13" s="1"/>
  <c r="G258" i="13"/>
  <c r="G257" i="13" s="1"/>
  <c r="F258" i="13"/>
  <c r="F257" i="13" s="1"/>
  <c r="E258" i="13"/>
  <c r="D258" i="13"/>
  <c r="C258" i="13"/>
  <c r="S257" i="13"/>
  <c r="M257" i="13"/>
  <c r="L257" i="13"/>
  <c r="I257" i="13"/>
  <c r="E257" i="13"/>
  <c r="D257" i="13"/>
  <c r="C257" i="13"/>
  <c r="R255" i="13"/>
  <c r="S255" i="13" s="1"/>
  <c r="S254" i="13" s="1"/>
  <c r="S253" i="13" s="1"/>
  <c r="R254" i="13"/>
  <c r="R253" i="13" s="1"/>
  <c r="Q254" i="13"/>
  <c r="P254" i="13"/>
  <c r="O254" i="13"/>
  <c r="N254" i="13"/>
  <c r="M254" i="13"/>
  <c r="L254" i="13"/>
  <c r="L253" i="13" s="1"/>
  <c r="K254" i="13"/>
  <c r="J254" i="13"/>
  <c r="J253" i="13" s="1"/>
  <c r="I254" i="13"/>
  <c r="I253" i="13" s="1"/>
  <c r="H254" i="13"/>
  <c r="H253" i="13" s="1"/>
  <c r="G254" i="13"/>
  <c r="F254" i="13"/>
  <c r="F253" i="13" s="1"/>
  <c r="E254" i="13"/>
  <c r="E253" i="13" s="1"/>
  <c r="D254" i="13"/>
  <c r="D253" i="13" s="1"/>
  <c r="C254" i="13"/>
  <c r="Q253" i="13"/>
  <c r="P253" i="13"/>
  <c r="O253" i="13"/>
  <c r="N253" i="13"/>
  <c r="M253" i="13"/>
  <c r="K253" i="13"/>
  <c r="G253" i="13"/>
  <c r="C253" i="13"/>
  <c r="R251" i="13"/>
  <c r="Q250" i="13"/>
  <c r="P250" i="13"/>
  <c r="P249" i="13" s="1"/>
  <c r="O250" i="13"/>
  <c r="O249" i="13" s="1"/>
  <c r="N250" i="13"/>
  <c r="N249" i="13" s="1"/>
  <c r="M250" i="13"/>
  <c r="L250" i="13"/>
  <c r="K250" i="13"/>
  <c r="K249" i="13" s="1"/>
  <c r="J250" i="13"/>
  <c r="I250" i="13"/>
  <c r="I249" i="13" s="1"/>
  <c r="H250" i="13"/>
  <c r="H249" i="13" s="1"/>
  <c r="G250" i="13"/>
  <c r="F250" i="13"/>
  <c r="F249" i="13" s="1"/>
  <c r="E250" i="13"/>
  <c r="D250" i="13"/>
  <c r="D249" i="13" s="1"/>
  <c r="C250" i="13"/>
  <c r="C249" i="13" s="1"/>
  <c r="Q249" i="13"/>
  <c r="M249" i="13"/>
  <c r="L249" i="13"/>
  <c r="J249" i="13"/>
  <c r="G249" i="13"/>
  <c r="E249" i="13"/>
  <c r="R247" i="13"/>
  <c r="R246" i="13" s="1"/>
  <c r="R245" i="13" s="1"/>
  <c r="Q246" i="13"/>
  <c r="Q245" i="13" s="1"/>
  <c r="P246" i="13"/>
  <c r="O246" i="13"/>
  <c r="N246" i="13"/>
  <c r="N245" i="13" s="1"/>
  <c r="M246" i="13"/>
  <c r="M245" i="13" s="1"/>
  <c r="L246" i="13"/>
  <c r="L245" i="13" s="1"/>
  <c r="K246" i="13"/>
  <c r="J246" i="13"/>
  <c r="J245" i="13" s="1"/>
  <c r="I246" i="13"/>
  <c r="I245" i="13" s="1"/>
  <c r="H246" i="13"/>
  <c r="G246" i="13"/>
  <c r="G245" i="13" s="1"/>
  <c r="F246" i="13"/>
  <c r="F245" i="13" s="1"/>
  <c r="E246" i="13"/>
  <c r="E245" i="13" s="1"/>
  <c r="D246" i="13"/>
  <c r="D245" i="13" s="1"/>
  <c r="C246" i="13"/>
  <c r="P245" i="13"/>
  <c r="O245" i="13"/>
  <c r="K245" i="13"/>
  <c r="H245" i="13"/>
  <c r="C245" i="13"/>
  <c r="R243" i="13"/>
  <c r="S243" i="13" s="1"/>
  <c r="S242" i="13" s="1"/>
  <c r="S241" i="13" s="1"/>
  <c r="R242" i="13"/>
  <c r="R241" i="13" s="1"/>
  <c r="Q242" i="13"/>
  <c r="Q241" i="13" s="1"/>
  <c r="P242" i="13"/>
  <c r="P241" i="13" s="1"/>
  <c r="O242" i="13"/>
  <c r="N242" i="13"/>
  <c r="N241" i="13" s="1"/>
  <c r="M242" i="13"/>
  <c r="L242" i="13"/>
  <c r="K242" i="13"/>
  <c r="K241" i="13" s="1"/>
  <c r="J242" i="13"/>
  <c r="J241" i="13" s="1"/>
  <c r="I242" i="13"/>
  <c r="I241" i="13" s="1"/>
  <c r="H242" i="13"/>
  <c r="H241" i="13" s="1"/>
  <c r="G242" i="13"/>
  <c r="F242" i="13"/>
  <c r="F241" i="13" s="1"/>
  <c r="E242" i="13"/>
  <c r="D242" i="13"/>
  <c r="C242" i="13"/>
  <c r="C241" i="13" s="1"/>
  <c r="O241" i="13"/>
  <c r="M241" i="13"/>
  <c r="L241" i="13"/>
  <c r="G241" i="13"/>
  <c r="E241" i="13"/>
  <c r="D241" i="13"/>
  <c r="R239" i="13"/>
  <c r="S239" i="13" s="1"/>
  <c r="S238" i="13" s="1"/>
  <c r="S237" i="13" s="1"/>
  <c r="R238" i="13"/>
  <c r="R237" i="13" s="1"/>
  <c r="Q238" i="13"/>
  <c r="P238" i="13"/>
  <c r="P237" i="13" s="1"/>
  <c r="O238" i="13"/>
  <c r="O237" i="13" s="1"/>
  <c r="N238" i="13"/>
  <c r="N237" i="13" s="1"/>
  <c r="M238" i="13"/>
  <c r="L238" i="13"/>
  <c r="L237" i="13" s="1"/>
  <c r="K238" i="13"/>
  <c r="K237" i="13" s="1"/>
  <c r="J238" i="13"/>
  <c r="J237" i="13" s="1"/>
  <c r="I238" i="13"/>
  <c r="H238" i="13"/>
  <c r="G238" i="13"/>
  <c r="F238" i="13"/>
  <c r="F237" i="13" s="1"/>
  <c r="E238" i="13"/>
  <c r="E237" i="13" s="1"/>
  <c r="D238" i="13"/>
  <c r="D237" i="13" s="1"/>
  <c r="C238" i="13"/>
  <c r="C237" i="13" s="1"/>
  <c r="Q237" i="13"/>
  <c r="M237" i="13"/>
  <c r="I237" i="13"/>
  <c r="H237" i="13"/>
  <c r="G237" i="13"/>
  <c r="R235" i="13"/>
  <c r="Q234" i="13"/>
  <c r="Q233" i="13" s="1"/>
  <c r="P234" i="13"/>
  <c r="P233" i="13" s="1"/>
  <c r="O234" i="13"/>
  <c r="N234" i="13"/>
  <c r="N233" i="13" s="1"/>
  <c r="M234" i="13"/>
  <c r="L234" i="13"/>
  <c r="L233" i="13" s="1"/>
  <c r="K234" i="13"/>
  <c r="K233" i="13" s="1"/>
  <c r="J234" i="13"/>
  <c r="J233" i="13" s="1"/>
  <c r="I234" i="13"/>
  <c r="I233" i="13" s="1"/>
  <c r="H234" i="13"/>
  <c r="H233" i="13" s="1"/>
  <c r="G234" i="13"/>
  <c r="F234" i="13"/>
  <c r="F233" i="13" s="1"/>
  <c r="E234" i="13"/>
  <c r="D234" i="13"/>
  <c r="D233" i="13" s="1"/>
  <c r="C234" i="13"/>
  <c r="C233" i="13" s="1"/>
  <c r="O233" i="13"/>
  <c r="M233" i="13"/>
  <c r="G233" i="13"/>
  <c r="E233" i="13"/>
  <c r="G231" i="13"/>
  <c r="R231" i="13" s="1"/>
  <c r="Q230" i="13"/>
  <c r="Q229" i="13" s="1"/>
  <c r="P230" i="13"/>
  <c r="P229" i="13" s="1"/>
  <c r="O230" i="13"/>
  <c r="N230" i="13"/>
  <c r="M230" i="13"/>
  <c r="M229" i="13" s="1"/>
  <c r="L230" i="13"/>
  <c r="L229" i="13" s="1"/>
  <c r="K230" i="13"/>
  <c r="K229" i="13" s="1"/>
  <c r="J230" i="13"/>
  <c r="I230" i="13"/>
  <c r="I229" i="13" s="1"/>
  <c r="H230" i="13"/>
  <c r="H229" i="13" s="1"/>
  <c r="F230" i="13"/>
  <c r="E230" i="13"/>
  <c r="E229" i="13" s="1"/>
  <c r="D230" i="13"/>
  <c r="D229" i="13" s="1"/>
  <c r="C230" i="13"/>
  <c r="C229" i="13" s="1"/>
  <c r="O229" i="13"/>
  <c r="N229" i="13"/>
  <c r="J229" i="13"/>
  <c r="F229" i="13"/>
  <c r="R227" i="13"/>
  <c r="S227" i="13" s="1"/>
  <c r="S226" i="13"/>
  <c r="R226" i="13"/>
  <c r="R225" i="13" s="1"/>
  <c r="Q226" i="13"/>
  <c r="Q225" i="13" s="1"/>
  <c r="P226" i="13"/>
  <c r="O226" i="13"/>
  <c r="O225" i="13" s="1"/>
  <c r="N226" i="13"/>
  <c r="N225" i="13" s="1"/>
  <c r="M226" i="13"/>
  <c r="L226" i="13"/>
  <c r="L225" i="13" s="1"/>
  <c r="K226" i="13"/>
  <c r="K225" i="13" s="1"/>
  <c r="J226" i="13"/>
  <c r="J225" i="13" s="1"/>
  <c r="I226" i="13"/>
  <c r="I225" i="13" s="1"/>
  <c r="H226" i="13"/>
  <c r="G226" i="13"/>
  <c r="G225" i="13" s="1"/>
  <c r="F226" i="13"/>
  <c r="F225" i="13" s="1"/>
  <c r="E226" i="13"/>
  <c r="D226" i="13"/>
  <c r="C226" i="13"/>
  <c r="C225" i="13" s="1"/>
  <c r="S225" i="13"/>
  <c r="P225" i="13"/>
  <c r="M225" i="13"/>
  <c r="H225" i="13"/>
  <c r="E225" i="13"/>
  <c r="D225" i="13"/>
  <c r="S223" i="13"/>
  <c r="S222" i="13" s="1"/>
  <c r="S221" i="13" s="1"/>
  <c r="R223" i="13"/>
  <c r="R222" i="13" s="1"/>
  <c r="Q222" i="13"/>
  <c r="Q221" i="13" s="1"/>
  <c r="P222" i="13"/>
  <c r="P221" i="13" s="1"/>
  <c r="O222" i="13"/>
  <c r="N222" i="13"/>
  <c r="M222" i="13"/>
  <c r="M221" i="13" s="1"/>
  <c r="L222" i="13"/>
  <c r="L221" i="13" s="1"/>
  <c r="K222" i="13"/>
  <c r="K221" i="13" s="1"/>
  <c r="J222" i="13"/>
  <c r="I222" i="13"/>
  <c r="I221" i="13" s="1"/>
  <c r="H222" i="13"/>
  <c r="G222" i="13"/>
  <c r="F222" i="13"/>
  <c r="F221" i="13" s="1"/>
  <c r="E222" i="13"/>
  <c r="E221" i="13" s="1"/>
  <c r="D222" i="13"/>
  <c r="D221" i="13" s="1"/>
  <c r="C222" i="13"/>
  <c r="C221" i="13" s="1"/>
  <c r="R221" i="13"/>
  <c r="O221" i="13"/>
  <c r="N221" i="13"/>
  <c r="J221" i="13"/>
  <c r="H221" i="13"/>
  <c r="G221" i="13"/>
  <c r="R219" i="13"/>
  <c r="R218" i="13" s="1"/>
  <c r="Q218" i="13"/>
  <c r="Q217" i="13" s="1"/>
  <c r="P218" i="13"/>
  <c r="O218" i="13"/>
  <c r="O217" i="13" s="1"/>
  <c r="N218" i="13"/>
  <c r="N217" i="13" s="1"/>
  <c r="M218" i="13"/>
  <c r="L218" i="13"/>
  <c r="K218" i="13"/>
  <c r="K217" i="13" s="1"/>
  <c r="J218" i="13"/>
  <c r="J217" i="13" s="1"/>
  <c r="I218" i="13"/>
  <c r="I217" i="13" s="1"/>
  <c r="H218" i="13"/>
  <c r="G218" i="13"/>
  <c r="G217" i="13" s="1"/>
  <c r="F218" i="13"/>
  <c r="F217" i="13" s="1"/>
  <c r="E218" i="13"/>
  <c r="E217" i="13" s="1"/>
  <c r="D218" i="13"/>
  <c r="D217" i="13" s="1"/>
  <c r="C218" i="13"/>
  <c r="R217" i="13"/>
  <c r="P217" i="13"/>
  <c r="M217" i="13"/>
  <c r="L217" i="13"/>
  <c r="H217" i="13"/>
  <c r="C217" i="13"/>
  <c r="R215" i="13"/>
  <c r="S215" i="13" s="1"/>
  <c r="R214" i="13"/>
  <c r="S214" i="13" s="1"/>
  <c r="R213" i="13"/>
  <c r="Q212" i="13"/>
  <c r="Q211" i="13" s="1"/>
  <c r="P212" i="13"/>
  <c r="P211" i="13" s="1"/>
  <c r="O212" i="13"/>
  <c r="O211" i="13" s="1"/>
  <c r="N212" i="13"/>
  <c r="M212" i="13"/>
  <c r="M211" i="13" s="1"/>
  <c r="L212" i="13"/>
  <c r="L211" i="13" s="1"/>
  <c r="K212" i="13"/>
  <c r="J212" i="13"/>
  <c r="J211" i="13" s="1"/>
  <c r="I212" i="13"/>
  <c r="I211" i="13" s="1"/>
  <c r="H212" i="13"/>
  <c r="G212" i="13"/>
  <c r="G211" i="13" s="1"/>
  <c r="F212" i="13"/>
  <c r="E212" i="13"/>
  <c r="E211" i="13" s="1"/>
  <c r="D212" i="13"/>
  <c r="D211" i="13" s="1"/>
  <c r="C212" i="13"/>
  <c r="C211" i="13" s="1"/>
  <c r="N211" i="13"/>
  <c r="K211" i="13"/>
  <c r="H211" i="13"/>
  <c r="F211" i="13"/>
  <c r="Q209" i="13"/>
  <c r="Q183" i="13" s="1"/>
  <c r="P209" i="13"/>
  <c r="O209" i="13"/>
  <c r="N209" i="13"/>
  <c r="M209" i="13"/>
  <c r="L209" i="13"/>
  <c r="K209" i="13"/>
  <c r="J209" i="13"/>
  <c r="I209" i="13"/>
  <c r="I183" i="13" s="1"/>
  <c r="H209" i="13"/>
  <c r="G209" i="13"/>
  <c r="F209" i="13"/>
  <c r="E209" i="13"/>
  <c r="D209" i="13"/>
  <c r="C209" i="13"/>
  <c r="Q208" i="13"/>
  <c r="P208" i="13"/>
  <c r="O208" i="13"/>
  <c r="N208" i="13"/>
  <c r="N182" i="13" s="1"/>
  <c r="M208" i="13"/>
  <c r="M182" i="13" s="1"/>
  <c r="L208" i="13"/>
  <c r="K208" i="13"/>
  <c r="J208" i="13"/>
  <c r="I208" i="13"/>
  <c r="H208" i="13"/>
  <c r="G208" i="13"/>
  <c r="F208" i="13"/>
  <c r="E208" i="13"/>
  <c r="E182" i="13" s="1"/>
  <c r="D208" i="13"/>
  <c r="D206" i="13" s="1"/>
  <c r="D205" i="13" s="1"/>
  <c r="C208" i="13"/>
  <c r="Q207" i="13"/>
  <c r="Q181" i="13" s="1"/>
  <c r="P207" i="13"/>
  <c r="O207" i="13"/>
  <c r="O181" i="13" s="1"/>
  <c r="N207" i="13"/>
  <c r="N181" i="13" s="1"/>
  <c r="M207" i="13"/>
  <c r="L207" i="13"/>
  <c r="K207" i="13"/>
  <c r="K206" i="13" s="1"/>
  <c r="K205" i="13" s="1"/>
  <c r="J207" i="13"/>
  <c r="I207" i="13"/>
  <c r="H207" i="13"/>
  <c r="G207" i="13"/>
  <c r="F207" i="13"/>
  <c r="E207" i="13"/>
  <c r="D207" i="13"/>
  <c r="C207" i="13"/>
  <c r="C206" i="13" s="1"/>
  <c r="C205" i="13" s="1"/>
  <c r="P206" i="13"/>
  <c r="P205" i="13" s="1"/>
  <c r="L206" i="13"/>
  <c r="L205" i="13" s="1"/>
  <c r="H206" i="13"/>
  <c r="H205" i="13" s="1"/>
  <c r="R203" i="13"/>
  <c r="R202" i="13"/>
  <c r="R185" i="13" s="1"/>
  <c r="R14" i="13" s="1"/>
  <c r="R201" i="13"/>
  <c r="S201" i="13" s="1"/>
  <c r="R200" i="13"/>
  <c r="S200" i="13" s="1"/>
  <c r="S199" i="13"/>
  <c r="R199" i="13"/>
  <c r="D199" i="13"/>
  <c r="R198" i="13"/>
  <c r="R197" i="13" s="1"/>
  <c r="Q197" i="13"/>
  <c r="Q196" i="13" s="1"/>
  <c r="P197" i="13"/>
  <c r="P196" i="13" s="1"/>
  <c r="O197" i="13"/>
  <c r="N197" i="13"/>
  <c r="N196" i="13" s="1"/>
  <c r="M197" i="13"/>
  <c r="M196" i="13" s="1"/>
  <c r="L197" i="13"/>
  <c r="L196" i="13" s="1"/>
  <c r="K197" i="13"/>
  <c r="J197" i="13"/>
  <c r="J196" i="13" s="1"/>
  <c r="I197" i="13"/>
  <c r="I196" i="13" s="1"/>
  <c r="H197" i="13"/>
  <c r="H196" i="13" s="1"/>
  <c r="G197" i="13"/>
  <c r="F197" i="13"/>
  <c r="F196" i="13" s="1"/>
  <c r="E197" i="13"/>
  <c r="E196" i="13" s="1"/>
  <c r="D197" i="13"/>
  <c r="D196" i="13" s="1"/>
  <c r="C197" i="13"/>
  <c r="O196" i="13"/>
  <c r="K196" i="13"/>
  <c r="G196" i="13"/>
  <c r="C196" i="13"/>
  <c r="R194" i="13"/>
  <c r="S194" i="13" s="1"/>
  <c r="R193" i="13"/>
  <c r="S193" i="13" s="1"/>
  <c r="R192" i="13"/>
  <c r="S192" i="13" s="1"/>
  <c r="R191" i="13"/>
  <c r="R190" i="13"/>
  <c r="R189" i="13"/>
  <c r="Q189" i="13"/>
  <c r="Q188" i="13" s="1"/>
  <c r="P189" i="13"/>
  <c r="P188" i="13" s="1"/>
  <c r="O189" i="13"/>
  <c r="O188" i="13" s="1"/>
  <c r="N189" i="13"/>
  <c r="N188" i="13" s="1"/>
  <c r="M189" i="13"/>
  <c r="L189" i="13"/>
  <c r="L188" i="13" s="1"/>
  <c r="K189" i="13"/>
  <c r="J189" i="13"/>
  <c r="J188" i="13" s="1"/>
  <c r="I189" i="13"/>
  <c r="I188" i="13" s="1"/>
  <c r="H189" i="13"/>
  <c r="H188" i="13" s="1"/>
  <c r="G189" i="13"/>
  <c r="G188" i="13" s="1"/>
  <c r="F189" i="13"/>
  <c r="F188" i="13" s="1"/>
  <c r="E189" i="13"/>
  <c r="E188" i="13" s="1"/>
  <c r="D189" i="13"/>
  <c r="D188" i="13" s="1"/>
  <c r="C189" i="13"/>
  <c r="R188" i="13"/>
  <c r="M188" i="13"/>
  <c r="K188" i="13"/>
  <c r="C188" i="13"/>
  <c r="Q186" i="13"/>
  <c r="P186" i="13"/>
  <c r="P15" i="13" s="1"/>
  <c r="O186" i="13"/>
  <c r="O15" i="13" s="1"/>
  <c r="N186" i="13"/>
  <c r="M186" i="13"/>
  <c r="L186" i="13"/>
  <c r="K186" i="13"/>
  <c r="J186" i="13"/>
  <c r="J15" i="13" s="1"/>
  <c r="I186" i="13"/>
  <c r="H186" i="13"/>
  <c r="H15" i="13" s="1"/>
  <c r="G186" i="13"/>
  <c r="G15" i="13" s="1"/>
  <c r="F186" i="13"/>
  <c r="F15" i="13" s="1"/>
  <c r="E186" i="13"/>
  <c r="D186" i="13"/>
  <c r="C186" i="13"/>
  <c r="Q185" i="13"/>
  <c r="Q14" i="13" s="1"/>
  <c r="P185" i="13"/>
  <c r="O185" i="13"/>
  <c r="O14" i="13" s="1"/>
  <c r="N185" i="13"/>
  <c r="M185" i="13"/>
  <c r="L185" i="13"/>
  <c r="K185" i="13"/>
  <c r="K14" i="13" s="1"/>
  <c r="J185" i="13"/>
  <c r="I185" i="13"/>
  <c r="H185" i="13"/>
  <c r="G185" i="13"/>
  <c r="G14" i="13" s="1"/>
  <c r="F185" i="13"/>
  <c r="F14" i="13" s="1"/>
  <c r="E185" i="13"/>
  <c r="E14" i="13" s="1"/>
  <c r="D185" i="13"/>
  <c r="C185" i="13"/>
  <c r="C14" i="13" s="1"/>
  <c r="Q184" i="13"/>
  <c r="P184" i="13"/>
  <c r="N184" i="13"/>
  <c r="L184" i="13"/>
  <c r="J184" i="13"/>
  <c r="J13" i="13" s="1"/>
  <c r="I184" i="13"/>
  <c r="H184" i="13"/>
  <c r="H13" i="13" s="1"/>
  <c r="F184" i="13"/>
  <c r="D184" i="13"/>
  <c r="O183" i="13"/>
  <c r="N183" i="13"/>
  <c r="N179" i="13" s="1"/>
  <c r="N178" i="13" s="1"/>
  <c r="K183" i="13"/>
  <c r="J183" i="13"/>
  <c r="G183" i="13"/>
  <c r="F183" i="13"/>
  <c r="E183" i="13"/>
  <c r="C183" i="13"/>
  <c r="P182" i="13"/>
  <c r="O182" i="13"/>
  <c r="L182" i="13"/>
  <c r="K182" i="13"/>
  <c r="J182" i="13"/>
  <c r="H182" i="13"/>
  <c r="G182" i="13"/>
  <c r="F182" i="13"/>
  <c r="D182" i="13"/>
  <c r="C182" i="13"/>
  <c r="P181" i="13"/>
  <c r="M181" i="13"/>
  <c r="L181" i="13"/>
  <c r="K181" i="13"/>
  <c r="K179" i="13" s="1"/>
  <c r="K178" i="13" s="1"/>
  <c r="J181" i="13"/>
  <c r="H181" i="13"/>
  <c r="E181" i="13"/>
  <c r="D181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E180" i="13"/>
  <c r="E179" i="13" s="1"/>
  <c r="D180" i="13"/>
  <c r="C180" i="13"/>
  <c r="S176" i="13"/>
  <c r="R176" i="13"/>
  <c r="R175" i="13"/>
  <c r="S175" i="13" s="1"/>
  <c r="S174" i="13"/>
  <c r="R174" i="13"/>
  <c r="Q173" i="13"/>
  <c r="Q172" i="13" s="1"/>
  <c r="P173" i="13"/>
  <c r="O173" i="13"/>
  <c r="O172" i="13" s="1"/>
  <c r="N173" i="13"/>
  <c r="M173" i="13"/>
  <c r="M172" i="13" s="1"/>
  <c r="L173" i="13"/>
  <c r="L172" i="13" s="1"/>
  <c r="K173" i="13"/>
  <c r="J173" i="13"/>
  <c r="I173" i="13"/>
  <c r="I172" i="13" s="1"/>
  <c r="H173" i="13"/>
  <c r="G173" i="13"/>
  <c r="G172" i="13" s="1"/>
  <c r="F173" i="13"/>
  <c r="F172" i="13" s="1"/>
  <c r="E173" i="13"/>
  <c r="E172" i="13" s="1"/>
  <c r="D173" i="13"/>
  <c r="C173" i="13"/>
  <c r="C172" i="13" s="1"/>
  <c r="P172" i="13"/>
  <c r="N172" i="13"/>
  <c r="K172" i="13"/>
  <c r="J172" i="13"/>
  <c r="H172" i="13"/>
  <c r="D172" i="13"/>
  <c r="S170" i="13"/>
  <c r="R170" i="13"/>
  <c r="R169" i="13"/>
  <c r="R168" i="13"/>
  <c r="S168" i="13" s="1"/>
  <c r="Q167" i="13"/>
  <c r="Q166" i="13" s="1"/>
  <c r="P167" i="13"/>
  <c r="P166" i="13" s="1"/>
  <c r="O167" i="13"/>
  <c r="N167" i="13"/>
  <c r="M167" i="13"/>
  <c r="M166" i="13" s="1"/>
  <c r="L167" i="13"/>
  <c r="K167" i="13"/>
  <c r="K166" i="13" s="1"/>
  <c r="J167" i="13"/>
  <c r="I167" i="13"/>
  <c r="I166" i="13" s="1"/>
  <c r="H167" i="13"/>
  <c r="G167" i="13"/>
  <c r="G166" i="13" s="1"/>
  <c r="F167" i="13"/>
  <c r="E167" i="13"/>
  <c r="E166" i="13" s="1"/>
  <c r="D167" i="13"/>
  <c r="D166" i="13" s="1"/>
  <c r="C167" i="13"/>
  <c r="C166" i="13" s="1"/>
  <c r="O166" i="13"/>
  <c r="N166" i="13"/>
  <c r="L166" i="13"/>
  <c r="J166" i="13"/>
  <c r="H166" i="13"/>
  <c r="F166" i="13"/>
  <c r="R164" i="13"/>
  <c r="S164" i="13" s="1"/>
  <c r="S163" i="13"/>
  <c r="R163" i="13"/>
  <c r="R162" i="13"/>
  <c r="R161" i="13" s="1"/>
  <c r="R160" i="13" s="1"/>
  <c r="Q161" i="13"/>
  <c r="Q160" i="13" s="1"/>
  <c r="P161" i="13"/>
  <c r="P160" i="13" s="1"/>
  <c r="O161" i="13"/>
  <c r="O160" i="13" s="1"/>
  <c r="N161" i="13"/>
  <c r="M161" i="13"/>
  <c r="M160" i="13" s="1"/>
  <c r="L161" i="13"/>
  <c r="K161" i="13"/>
  <c r="J161" i="13"/>
  <c r="J160" i="13" s="1"/>
  <c r="I161" i="13"/>
  <c r="I160" i="13" s="1"/>
  <c r="H161" i="13"/>
  <c r="H160" i="13" s="1"/>
  <c r="G161" i="13"/>
  <c r="G160" i="13" s="1"/>
  <c r="F161" i="13"/>
  <c r="E161" i="13"/>
  <c r="E160" i="13" s="1"/>
  <c r="D161" i="13"/>
  <c r="C161" i="13"/>
  <c r="C160" i="13" s="1"/>
  <c r="N160" i="13"/>
  <c r="L160" i="13"/>
  <c r="K160" i="13"/>
  <c r="F160" i="13"/>
  <c r="D160" i="13"/>
  <c r="R158" i="13"/>
  <c r="S158" i="13" s="1"/>
  <c r="R157" i="13"/>
  <c r="R156" i="13"/>
  <c r="S156" i="13" s="1"/>
  <c r="Q155" i="13"/>
  <c r="Q154" i="13" s="1"/>
  <c r="P155" i="13"/>
  <c r="O155" i="13"/>
  <c r="O154" i="13" s="1"/>
  <c r="N155" i="13"/>
  <c r="N154" i="13" s="1"/>
  <c r="M155" i="13"/>
  <c r="M154" i="13" s="1"/>
  <c r="L155" i="13"/>
  <c r="K155" i="13"/>
  <c r="K154" i="13" s="1"/>
  <c r="J155" i="13"/>
  <c r="I155" i="13"/>
  <c r="I154" i="13" s="1"/>
  <c r="H155" i="13"/>
  <c r="G155" i="13"/>
  <c r="F155" i="13"/>
  <c r="F154" i="13" s="1"/>
  <c r="E155" i="13"/>
  <c r="E154" i="13" s="1"/>
  <c r="D155" i="13"/>
  <c r="C155" i="13"/>
  <c r="C154" i="13" s="1"/>
  <c r="P154" i="13"/>
  <c r="L154" i="13"/>
  <c r="J154" i="13"/>
  <c r="H154" i="13"/>
  <c r="G154" i="13"/>
  <c r="D154" i="13"/>
  <c r="R152" i="13"/>
  <c r="S152" i="13" s="1"/>
  <c r="S151" i="13"/>
  <c r="R151" i="13"/>
  <c r="R150" i="13"/>
  <c r="S150" i="13" s="1"/>
  <c r="Q149" i="13"/>
  <c r="Q148" i="13" s="1"/>
  <c r="P149" i="13"/>
  <c r="O149" i="13"/>
  <c r="O148" i="13" s="1"/>
  <c r="N149" i="13"/>
  <c r="N148" i="13" s="1"/>
  <c r="M149" i="13"/>
  <c r="M148" i="13" s="1"/>
  <c r="L149" i="13"/>
  <c r="K149" i="13"/>
  <c r="J149" i="13"/>
  <c r="I149" i="13"/>
  <c r="I148" i="13" s="1"/>
  <c r="H149" i="13"/>
  <c r="G149" i="13"/>
  <c r="G148" i="13" s="1"/>
  <c r="F149" i="13"/>
  <c r="E149" i="13"/>
  <c r="E148" i="13" s="1"/>
  <c r="D149" i="13"/>
  <c r="C149" i="13"/>
  <c r="C148" i="13" s="1"/>
  <c r="P148" i="13"/>
  <c r="L148" i="13"/>
  <c r="K148" i="13"/>
  <c r="J148" i="13"/>
  <c r="H148" i="13"/>
  <c r="F148" i="13"/>
  <c r="D148" i="13"/>
  <c r="S146" i="13"/>
  <c r="R146" i="13"/>
  <c r="R145" i="13"/>
  <c r="R143" i="13" s="1"/>
  <c r="R142" i="13" s="1"/>
  <c r="S144" i="13"/>
  <c r="R144" i="13"/>
  <c r="Q143" i="13"/>
  <c r="Q142" i="13" s="1"/>
  <c r="P143" i="13"/>
  <c r="O143" i="13"/>
  <c r="N143" i="13"/>
  <c r="N142" i="13" s="1"/>
  <c r="M143" i="13"/>
  <c r="M142" i="13" s="1"/>
  <c r="L143" i="13"/>
  <c r="K143" i="13"/>
  <c r="K142" i="13" s="1"/>
  <c r="J143" i="13"/>
  <c r="I143" i="13"/>
  <c r="I142" i="13" s="1"/>
  <c r="H143" i="13"/>
  <c r="G143" i="13"/>
  <c r="F143" i="13"/>
  <c r="E143" i="13"/>
  <c r="E142" i="13" s="1"/>
  <c r="D143" i="13"/>
  <c r="C143" i="13"/>
  <c r="C142" i="13" s="1"/>
  <c r="P142" i="13"/>
  <c r="O142" i="13"/>
  <c r="L142" i="13"/>
  <c r="J142" i="13"/>
  <c r="H142" i="13"/>
  <c r="G142" i="13"/>
  <c r="F142" i="13"/>
  <c r="D142" i="13"/>
  <c r="S140" i="13"/>
  <c r="R140" i="13"/>
  <c r="S139" i="13"/>
  <c r="R139" i="13"/>
  <c r="S138" i="13"/>
  <c r="R138" i="13"/>
  <c r="R137" i="13"/>
  <c r="Q137" i="13"/>
  <c r="Q136" i="13" s="1"/>
  <c r="P137" i="13"/>
  <c r="P136" i="13" s="1"/>
  <c r="O137" i="13"/>
  <c r="O136" i="13" s="1"/>
  <c r="N137" i="13"/>
  <c r="M137" i="13"/>
  <c r="M136" i="13" s="1"/>
  <c r="L137" i="13"/>
  <c r="L136" i="13" s="1"/>
  <c r="K137" i="13"/>
  <c r="J137" i="13"/>
  <c r="I137" i="13"/>
  <c r="I136" i="13" s="1"/>
  <c r="H137" i="13"/>
  <c r="H136" i="13" s="1"/>
  <c r="G137" i="13"/>
  <c r="G136" i="13" s="1"/>
  <c r="F137" i="13"/>
  <c r="F136" i="13" s="1"/>
  <c r="E137" i="13"/>
  <c r="E136" i="13" s="1"/>
  <c r="D137" i="13"/>
  <c r="C137" i="13"/>
  <c r="C136" i="13" s="1"/>
  <c r="R136" i="13"/>
  <c r="N136" i="13"/>
  <c r="K136" i="13"/>
  <c r="J136" i="13"/>
  <c r="D136" i="13"/>
  <c r="R134" i="13"/>
  <c r="S134" i="13" s="1"/>
  <c r="R133" i="13"/>
  <c r="S132" i="13"/>
  <c r="R132" i="13"/>
  <c r="Q131" i="13"/>
  <c r="Q130" i="13" s="1"/>
  <c r="P131" i="13"/>
  <c r="P130" i="13" s="1"/>
  <c r="O131" i="13"/>
  <c r="O130" i="13" s="1"/>
  <c r="N131" i="13"/>
  <c r="M131" i="13"/>
  <c r="M130" i="13" s="1"/>
  <c r="L131" i="13"/>
  <c r="L130" i="13" s="1"/>
  <c r="K131" i="13"/>
  <c r="K130" i="13" s="1"/>
  <c r="J131" i="13"/>
  <c r="I131" i="13"/>
  <c r="I130" i="13" s="1"/>
  <c r="H131" i="13"/>
  <c r="H130" i="13" s="1"/>
  <c r="G131" i="13"/>
  <c r="G130" i="13" s="1"/>
  <c r="F131" i="13"/>
  <c r="E131" i="13"/>
  <c r="E130" i="13" s="1"/>
  <c r="D131" i="13"/>
  <c r="C131" i="13"/>
  <c r="C130" i="13" s="1"/>
  <c r="N130" i="13"/>
  <c r="J130" i="13"/>
  <c r="F130" i="13"/>
  <c r="D130" i="13"/>
  <c r="R128" i="13"/>
  <c r="S128" i="13" s="1"/>
  <c r="R127" i="13"/>
  <c r="S127" i="13" s="1"/>
  <c r="S126" i="13"/>
  <c r="R126" i="13"/>
  <c r="Q125" i="13"/>
  <c r="Q124" i="13" s="1"/>
  <c r="P125" i="13"/>
  <c r="P124" i="13" s="1"/>
  <c r="O125" i="13"/>
  <c r="O124" i="13" s="1"/>
  <c r="N125" i="13"/>
  <c r="M125" i="13"/>
  <c r="M124" i="13" s="1"/>
  <c r="L125" i="13"/>
  <c r="K125" i="13"/>
  <c r="K124" i="13" s="1"/>
  <c r="J125" i="13"/>
  <c r="I125" i="13"/>
  <c r="I124" i="13" s="1"/>
  <c r="H125" i="13"/>
  <c r="H124" i="13" s="1"/>
  <c r="G125" i="13"/>
  <c r="G124" i="13" s="1"/>
  <c r="F125" i="13"/>
  <c r="E125" i="13"/>
  <c r="E124" i="13" s="1"/>
  <c r="D125" i="13"/>
  <c r="D124" i="13" s="1"/>
  <c r="C125" i="13"/>
  <c r="C124" i="13" s="1"/>
  <c r="N124" i="13"/>
  <c r="L124" i="13"/>
  <c r="J124" i="13"/>
  <c r="F124" i="13"/>
  <c r="R122" i="13"/>
  <c r="S122" i="13" s="1"/>
  <c r="S121" i="13"/>
  <c r="R121" i="13"/>
  <c r="R120" i="13"/>
  <c r="R101" i="13" s="1"/>
  <c r="Q119" i="13"/>
  <c r="Q118" i="13" s="1"/>
  <c r="P119" i="13"/>
  <c r="P118" i="13" s="1"/>
  <c r="O119" i="13"/>
  <c r="O118" i="13" s="1"/>
  <c r="N119" i="13"/>
  <c r="M119" i="13"/>
  <c r="M118" i="13" s="1"/>
  <c r="L119" i="13"/>
  <c r="K119" i="13"/>
  <c r="K118" i="13" s="1"/>
  <c r="J119" i="13"/>
  <c r="J118" i="13" s="1"/>
  <c r="I119" i="13"/>
  <c r="I118" i="13" s="1"/>
  <c r="H119" i="13"/>
  <c r="H118" i="13" s="1"/>
  <c r="G119" i="13"/>
  <c r="G118" i="13" s="1"/>
  <c r="F119" i="13"/>
  <c r="E119" i="13"/>
  <c r="E118" i="13" s="1"/>
  <c r="D119" i="13"/>
  <c r="D118" i="13" s="1"/>
  <c r="C119" i="13"/>
  <c r="C118" i="13" s="1"/>
  <c r="N118" i="13"/>
  <c r="L118" i="13"/>
  <c r="F118" i="13"/>
  <c r="S116" i="13"/>
  <c r="S106" i="13" s="1"/>
  <c r="R116" i="13"/>
  <c r="S115" i="13"/>
  <c r="S105" i="13" s="1"/>
  <c r="R115" i="13"/>
  <c r="S114" i="13"/>
  <c r="R114" i="13"/>
  <c r="S113" i="13"/>
  <c r="R113" i="13"/>
  <c r="S112" i="13"/>
  <c r="S102" i="13" s="1"/>
  <c r="R112" i="13"/>
  <c r="R102" i="13" s="1"/>
  <c r="S111" i="13"/>
  <c r="R111" i="13"/>
  <c r="S110" i="13"/>
  <c r="S100" i="13" s="1"/>
  <c r="R110" i="13"/>
  <c r="R109" i="13"/>
  <c r="Q109" i="13"/>
  <c r="Q108" i="13" s="1"/>
  <c r="P109" i="13"/>
  <c r="P108" i="13" s="1"/>
  <c r="O109" i="13"/>
  <c r="O108" i="13" s="1"/>
  <c r="N109" i="13"/>
  <c r="N108" i="13" s="1"/>
  <c r="M109" i="13"/>
  <c r="M108" i="13" s="1"/>
  <c r="L109" i="13"/>
  <c r="K109" i="13"/>
  <c r="J109" i="13"/>
  <c r="J108" i="13" s="1"/>
  <c r="I109" i="13"/>
  <c r="I108" i="13" s="1"/>
  <c r="H109" i="13"/>
  <c r="H108" i="13" s="1"/>
  <c r="G109" i="13"/>
  <c r="G108" i="13" s="1"/>
  <c r="F109" i="13"/>
  <c r="F108" i="13" s="1"/>
  <c r="E109" i="13"/>
  <c r="D109" i="13"/>
  <c r="D108" i="13" s="1"/>
  <c r="C109" i="13"/>
  <c r="R108" i="13"/>
  <c r="L108" i="13"/>
  <c r="K108" i="13"/>
  <c r="E108" i="13"/>
  <c r="C108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F13" i="13" s="1"/>
  <c r="E106" i="13"/>
  <c r="D106" i="13"/>
  <c r="C106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C104" i="13"/>
  <c r="Q103" i="13"/>
  <c r="P103" i="13"/>
  <c r="O103" i="13"/>
  <c r="N103" i="13"/>
  <c r="M103" i="13"/>
  <c r="L103" i="13"/>
  <c r="K103" i="13"/>
  <c r="K10" i="13" s="1"/>
  <c r="J103" i="13"/>
  <c r="I103" i="13"/>
  <c r="H103" i="13"/>
  <c r="G103" i="13"/>
  <c r="F103" i="13"/>
  <c r="E103" i="13"/>
  <c r="D103" i="13"/>
  <c r="C103" i="13"/>
  <c r="Q102" i="13"/>
  <c r="Q99" i="13" s="1"/>
  <c r="Q98" i="13" s="1"/>
  <c r="P102" i="13"/>
  <c r="O102" i="13"/>
  <c r="O9" i="13" s="1"/>
  <c r="N102" i="13"/>
  <c r="M102" i="13"/>
  <c r="M9" i="13" s="1"/>
  <c r="L102" i="13"/>
  <c r="L9" i="13" s="1"/>
  <c r="K102" i="13"/>
  <c r="K9" i="13" s="1"/>
  <c r="J102" i="13"/>
  <c r="I102" i="13"/>
  <c r="I9" i="13" s="1"/>
  <c r="H102" i="13"/>
  <c r="G102" i="13"/>
  <c r="G9" i="13" s="1"/>
  <c r="F102" i="13"/>
  <c r="E102" i="13"/>
  <c r="E9" i="13" s="1"/>
  <c r="D102" i="13"/>
  <c r="C102" i="13"/>
  <c r="C9" i="13" s="1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R100" i="13"/>
  <c r="Q100" i="13"/>
  <c r="P100" i="13"/>
  <c r="P99" i="13" s="1"/>
  <c r="P98" i="13" s="1"/>
  <c r="O100" i="13"/>
  <c r="N100" i="13"/>
  <c r="M100" i="13"/>
  <c r="L100" i="13"/>
  <c r="K100" i="13"/>
  <c r="J100" i="13"/>
  <c r="J99" i="13" s="1"/>
  <c r="I100" i="13"/>
  <c r="H100" i="13"/>
  <c r="H99" i="13" s="1"/>
  <c r="H98" i="13" s="1"/>
  <c r="G100" i="13"/>
  <c r="F100" i="13"/>
  <c r="E100" i="13"/>
  <c r="D100" i="13"/>
  <c r="D99" i="13" s="1"/>
  <c r="D98" i="13" s="1"/>
  <c r="C100" i="13"/>
  <c r="L99" i="13"/>
  <c r="L98" i="13" s="1"/>
  <c r="J98" i="13"/>
  <c r="S96" i="13"/>
  <c r="R96" i="13"/>
  <c r="R95" i="13"/>
  <c r="S95" i="13" s="1"/>
  <c r="R94" i="13"/>
  <c r="S94" i="13" s="1"/>
  <c r="R93" i="13"/>
  <c r="S93" i="13" s="1"/>
  <c r="R92" i="13"/>
  <c r="S92" i="13" s="1"/>
  <c r="R91" i="13"/>
  <c r="S91" i="13" s="1"/>
  <c r="Q90" i="13"/>
  <c r="P90" i="13"/>
  <c r="P89" i="13" s="1"/>
  <c r="O90" i="13"/>
  <c r="O89" i="13" s="1"/>
  <c r="N90" i="13"/>
  <c r="N89" i="13" s="1"/>
  <c r="M90" i="13"/>
  <c r="L90" i="13"/>
  <c r="K90" i="13"/>
  <c r="J90" i="13"/>
  <c r="J89" i="13" s="1"/>
  <c r="I90" i="13"/>
  <c r="H90" i="13"/>
  <c r="H89" i="13" s="1"/>
  <c r="G90" i="13"/>
  <c r="G89" i="13" s="1"/>
  <c r="F90" i="13"/>
  <c r="F89" i="13" s="1"/>
  <c r="E90" i="13"/>
  <c r="D90" i="13"/>
  <c r="D89" i="13" s="1"/>
  <c r="C90" i="13"/>
  <c r="C89" i="13" s="1"/>
  <c r="Q89" i="13"/>
  <c r="M89" i="13"/>
  <c r="L89" i="13"/>
  <c r="K89" i="13"/>
  <c r="I89" i="13"/>
  <c r="E89" i="13"/>
  <c r="R87" i="13"/>
  <c r="S87" i="13" s="1"/>
  <c r="R86" i="13"/>
  <c r="S86" i="13" s="1"/>
  <c r="R85" i="13"/>
  <c r="S85" i="13" s="1"/>
  <c r="R84" i="13"/>
  <c r="S84" i="13" s="1"/>
  <c r="R83" i="13"/>
  <c r="S82" i="13"/>
  <c r="R82" i="13"/>
  <c r="Q81" i="13"/>
  <c r="Q80" i="13" s="1"/>
  <c r="P81" i="13"/>
  <c r="P80" i="13" s="1"/>
  <c r="O81" i="13"/>
  <c r="O80" i="13" s="1"/>
  <c r="N81" i="13"/>
  <c r="M81" i="13"/>
  <c r="M80" i="13" s="1"/>
  <c r="L81" i="13"/>
  <c r="L80" i="13" s="1"/>
  <c r="K81" i="13"/>
  <c r="K80" i="13" s="1"/>
  <c r="J81" i="13"/>
  <c r="I81" i="13"/>
  <c r="I80" i="13" s="1"/>
  <c r="H81" i="13"/>
  <c r="H80" i="13" s="1"/>
  <c r="G81" i="13"/>
  <c r="G80" i="13" s="1"/>
  <c r="F81" i="13"/>
  <c r="E81" i="13"/>
  <c r="E80" i="13" s="1"/>
  <c r="D81" i="13"/>
  <c r="D80" i="13" s="1"/>
  <c r="C81" i="13"/>
  <c r="C80" i="13" s="1"/>
  <c r="N80" i="13"/>
  <c r="J80" i="13"/>
  <c r="F80" i="13"/>
  <c r="R78" i="13"/>
  <c r="S78" i="13" s="1"/>
  <c r="R77" i="13"/>
  <c r="S77" i="13" s="1"/>
  <c r="S76" i="13"/>
  <c r="R76" i="13"/>
  <c r="R75" i="13"/>
  <c r="S75" i="13" s="1"/>
  <c r="R74" i="13"/>
  <c r="S74" i="13" s="1"/>
  <c r="R73" i="13"/>
  <c r="Q72" i="13"/>
  <c r="P72" i="13"/>
  <c r="P71" i="13" s="1"/>
  <c r="O72" i="13"/>
  <c r="N72" i="13"/>
  <c r="N71" i="13" s="1"/>
  <c r="M72" i="13"/>
  <c r="L72" i="13"/>
  <c r="L71" i="13" s="1"/>
  <c r="K72" i="13"/>
  <c r="K71" i="13" s="1"/>
  <c r="J72" i="13"/>
  <c r="J71" i="13" s="1"/>
  <c r="I72" i="13"/>
  <c r="H72" i="13"/>
  <c r="H71" i="13" s="1"/>
  <c r="G72" i="13"/>
  <c r="F72" i="13"/>
  <c r="F71" i="13" s="1"/>
  <c r="E72" i="13"/>
  <c r="D72" i="13"/>
  <c r="D71" i="13" s="1"/>
  <c r="C72" i="13"/>
  <c r="C71" i="13" s="1"/>
  <c r="Q71" i="13"/>
  <c r="O71" i="13"/>
  <c r="M71" i="13"/>
  <c r="I71" i="13"/>
  <c r="G71" i="13"/>
  <c r="E71" i="13"/>
  <c r="R69" i="13"/>
  <c r="S69" i="13" s="1"/>
  <c r="R68" i="13"/>
  <c r="S68" i="13" s="1"/>
  <c r="R67" i="13"/>
  <c r="S67" i="13" s="1"/>
  <c r="R66" i="13"/>
  <c r="S66" i="13" s="1"/>
  <c r="R65" i="13"/>
  <c r="S65" i="13" s="1"/>
  <c r="R64" i="13"/>
  <c r="S64" i="13" s="1"/>
  <c r="Q63" i="13"/>
  <c r="Q62" i="13" s="1"/>
  <c r="P63" i="13"/>
  <c r="P62" i="13" s="1"/>
  <c r="O63" i="13"/>
  <c r="O62" i="13" s="1"/>
  <c r="N63" i="13"/>
  <c r="M63" i="13"/>
  <c r="M62" i="13" s="1"/>
  <c r="L63" i="13"/>
  <c r="L62" i="13" s="1"/>
  <c r="K63" i="13"/>
  <c r="K62" i="13" s="1"/>
  <c r="J63" i="13"/>
  <c r="I63" i="13"/>
  <c r="I62" i="13" s="1"/>
  <c r="H63" i="13"/>
  <c r="H62" i="13" s="1"/>
  <c r="G63" i="13"/>
  <c r="G62" i="13" s="1"/>
  <c r="F63" i="13"/>
  <c r="F62" i="13" s="1"/>
  <c r="E63" i="13"/>
  <c r="D63" i="13"/>
  <c r="D62" i="13" s="1"/>
  <c r="C63" i="13"/>
  <c r="C62" i="13" s="1"/>
  <c r="N62" i="13"/>
  <c r="J62" i="13"/>
  <c r="E62" i="13"/>
  <c r="S60" i="13"/>
  <c r="R60" i="13"/>
  <c r="R59" i="13"/>
  <c r="S59" i="13" s="1"/>
  <c r="R58" i="13"/>
  <c r="S58" i="13" s="1"/>
  <c r="R57" i="13"/>
  <c r="S57" i="13" s="1"/>
  <c r="R56" i="13"/>
  <c r="S56" i="13" s="1"/>
  <c r="R55" i="13"/>
  <c r="S55" i="13" s="1"/>
  <c r="S54" i="13" s="1"/>
  <c r="Q54" i="13"/>
  <c r="P54" i="13"/>
  <c r="O54" i="13"/>
  <c r="O53" i="13" s="1"/>
  <c r="N54" i="13"/>
  <c r="N53" i="13" s="1"/>
  <c r="M54" i="13"/>
  <c r="M53" i="13" s="1"/>
  <c r="L54" i="13"/>
  <c r="K54" i="13"/>
  <c r="J54" i="13"/>
  <c r="J53" i="13" s="1"/>
  <c r="I54" i="13"/>
  <c r="H54" i="13"/>
  <c r="G54" i="13"/>
  <c r="G53" i="13" s="1"/>
  <c r="F54" i="13"/>
  <c r="F53" i="13" s="1"/>
  <c r="E54" i="13"/>
  <c r="D54" i="13"/>
  <c r="C54" i="13"/>
  <c r="Q53" i="13"/>
  <c r="P53" i="13"/>
  <c r="L53" i="13"/>
  <c r="K53" i="13"/>
  <c r="I53" i="13"/>
  <c r="H53" i="13"/>
  <c r="E53" i="13"/>
  <c r="D53" i="13"/>
  <c r="C53" i="13"/>
  <c r="R51" i="13"/>
  <c r="S51" i="13" s="1"/>
  <c r="S50" i="13"/>
  <c r="R50" i="13"/>
  <c r="R49" i="13"/>
  <c r="S49" i="13" s="1"/>
  <c r="R48" i="13"/>
  <c r="R47" i="13"/>
  <c r="R46" i="13"/>
  <c r="S46" i="13" s="1"/>
  <c r="Q45" i="13"/>
  <c r="P45" i="13"/>
  <c r="P44" i="13" s="1"/>
  <c r="O45" i="13"/>
  <c r="O44" i="13" s="1"/>
  <c r="N45" i="13"/>
  <c r="N44" i="13" s="1"/>
  <c r="M45" i="13"/>
  <c r="M44" i="13" s="1"/>
  <c r="L45" i="13"/>
  <c r="L44" i="13" s="1"/>
  <c r="K45" i="13"/>
  <c r="K44" i="13" s="1"/>
  <c r="J45" i="13"/>
  <c r="J44" i="13" s="1"/>
  <c r="I45" i="13"/>
  <c r="H45" i="13"/>
  <c r="H44" i="13" s="1"/>
  <c r="G45" i="13"/>
  <c r="G44" i="13" s="1"/>
  <c r="F45" i="13"/>
  <c r="F44" i="13" s="1"/>
  <c r="E45" i="13"/>
  <c r="E44" i="13" s="1"/>
  <c r="D45" i="13"/>
  <c r="D44" i="13" s="1"/>
  <c r="C45" i="13"/>
  <c r="Q44" i="13"/>
  <c r="I44" i="13"/>
  <c r="C44" i="13"/>
  <c r="R42" i="13"/>
  <c r="S42" i="13" s="1"/>
  <c r="R41" i="13"/>
  <c r="S41" i="13" s="1"/>
  <c r="R40" i="13"/>
  <c r="S40" i="13" s="1"/>
  <c r="R39" i="13"/>
  <c r="S39" i="13" s="1"/>
  <c r="R38" i="13"/>
  <c r="S38" i="13" s="1"/>
  <c r="R37" i="13"/>
  <c r="Q36" i="13"/>
  <c r="Q35" i="13" s="1"/>
  <c r="P36" i="13"/>
  <c r="P35" i="13" s="1"/>
  <c r="O36" i="13"/>
  <c r="N36" i="13"/>
  <c r="N35" i="13" s="1"/>
  <c r="M36" i="13"/>
  <c r="L36" i="13"/>
  <c r="L35" i="13" s="1"/>
  <c r="K36" i="13"/>
  <c r="K35" i="13" s="1"/>
  <c r="J36" i="13"/>
  <c r="J35" i="13" s="1"/>
  <c r="I36" i="13"/>
  <c r="I35" i="13" s="1"/>
  <c r="H36" i="13"/>
  <c r="H35" i="13" s="1"/>
  <c r="G36" i="13"/>
  <c r="F36" i="13"/>
  <c r="F35" i="13" s="1"/>
  <c r="E36" i="13"/>
  <c r="E35" i="13" s="1"/>
  <c r="D36" i="13"/>
  <c r="C36" i="13"/>
  <c r="C35" i="13" s="1"/>
  <c r="O35" i="13"/>
  <c r="M35" i="13"/>
  <c r="G35" i="13"/>
  <c r="D35" i="13"/>
  <c r="R33" i="13"/>
  <c r="R32" i="13"/>
  <c r="R31" i="13"/>
  <c r="S30" i="13"/>
  <c r="R30" i="13"/>
  <c r="R29" i="13"/>
  <c r="S29" i="13" s="1"/>
  <c r="R28" i="13"/>
  <c r="Q27" i="13"/>
  <c r="Q26" i="13" s="1"/>
  <c r="P27" i="13"/>
  <c r="P26" i="13" s="1"/>
  <c r="O27" i="13"/>
  <c r="O26" i="13" s="1"/>
  <c r="N27" i="13"/>
  <c r="M27" i="13"/>
  <c r="L27" i="13"/>
  <c r="L26" i="13" s="1"/>
  <c r="K27" i="13"/>
  <c r="K26" i="13" s="1"/>
  <c r="J27" i="13"/>
  <c r="I27" i="13"/>
  <c r="I26" i="13" s="1"/>
  <c r="H27" i="13"/>
  <c r="H26" i="13" s="1"/>
  <c r="G27" i="13"/>
  <c r="G26" i="13" s="1"/>
  <c r="F27" i="13"/>
  <c r="E27" i="13"/>
  <c r="E26" i="13" s="1"/>
  <c r="D27" i="13"/>
  <c r="D26" i="13" s="1"/>
  <c r="C27" i="13"/>
  <c r="C26" i="13" s="1"/>
  <c r="N26" i="13"/>
  <c r="M26" i="13"/>
  <c r="J26" i="13"/>
  <c r="F26" i="13"/>
  <c r="Q24" i="13"/>
  <c r="Q13" i="13" s="1"/>
  <c r="P24" i="13"/>
  <c r="P13" i="13" s="1"/>
  <c r="O24" i="13"/>
  <c r="O13" i="13" s="1"/>
  <c r="N24" i="13"/>
  <c r="M24" i="13"/>
  <c r="L24" i="13"/>
  <c r="K24" i="13"/>
  <c r="J24" i="13"/>
  <c r="I24" i="13"/>
  <c r="H24" i="13"/>
  <c r="G24" i="13"/>
  <c r="G13" i="13" s="1"/>
  <c r="F24" i="13"/>
  <c r="E24" i="13"/>
  <c r="E13" i="13" s="1"/>
  <c r="D24" i="13"/>
  <c r="C24" i="13"/>
  <c r="Q23" i="13"/>
  <c r="P23" i="13"/>
  <c r="P12" i="13" s="1"/>
  <c r="O23" i="13"/>
  <c r="O12" i="13" s="1"/>
  <c r="N23" i="13"/>
  <c r="M23" i="13"/>
  <c r="M12" i="13" s="1"/>
  <c r="L23" i="13"/>
  <c r="K23" i="13"/>
  <c r="J23" i="13"/>
  <c r="I23" i="13"/>
  <c r="H23" i="13"/>
  <c r="H12" i="13" s="1"/>
  <c r="G23" i="13"/>
  <c r="F23" i="13"/>
  <c r="E23" i="13"/>
  <c r="E12" i="13" s="1"/>
  <c r="D23" i="13"/>
  <c r="C23" i="13"/>
  <c r="Q22" i="13"/>
  <c r="Q11" i="13" s="1"/>
  <c r="P22" i="13"/>
  <c r="O22" i="13"/>
  <c r="N22" i="13"/>
  <c r="M22" i="13"/>
  <c r="L22" i="13"/>
  <c r="K22" i="13"/>
  <c r="J22" i="13"/>
  <c r="J11" i="13" s="1"/>
  <c r="I22" i="13"/>
  <c r="I11" i="13" s="1"/>
  <c r="H22" i="13"/>
  <c r="G22" i="13"/>
  <c r="F22" i="13"/>
  <c r="E22" i="13"/>
  <c r="D22" i="13"/>
  <c r="C22" i="13"/>
  <c r="Q21" i="13"/>
  <c r="P21" i="13"/>
  <c r="P10" i="13" s="1"/>
  <c r="O21" i="13"/>
  <c r="N21" i="13"/>
  <c r="M21" i="13"/>
  <c r="L21" i="13"/>
  <c r="K21" i="13"/>
  <c r="J21" i="13"/>
  <c r="I21" i="13"/>
  <c r="H21" i="13"/>
  <c r="G21" i="13"/>
  <c r="F21" i="13"/>
  <c r="E21" i="13"/>
  <c r="D21" i="13"/>
  <c r="D10" i="13" s="1"/>
  <c r="C21" i="13"/>
  <c r="Q20" i="13"/>
  <c r="P20" i="13"/>
  <c r="O20" i="13"/>
  <c r="N20" i="13"/>
  <c r="M20" i="13"/>
  <c r="L20" i="13"/>
  <c r="K20" i="13"/>
  <c r="K8" i="13" s="1"/>
  <c r="J20" i="13"/>
  <c r="I20" i="13"/>
  <c r="H20" i="13"/>
  <c r="G20" i="13"/>
  <c r="F20" i="13"/>
  <c r="E20" i="13"/>
  <c r="D20" i="13"/>
  <c r="C20" i="13"/>
  <c r="Q19" i="13"/>
  <c r="P19" i="13"/>
  <c r="O19" i="13"/>
  <c r="N19" i="13"/>
  <c r="N7" i="13" s="1"/>
  <c r="M19" i="13"/>
  <c r="L19" i="13"/>
  <c r="K19" i="13"/>
  <c r="J19" i="13"/>
  <c r="J18" i="13" s="1"/>
  <c r="J17" i="13" s="1"/>
  <c r="I19" i="13"/>
  <c r="H19" i="13"/>
  <c r="G19" i="13"/>
  <c r="F19" i="13"/>
  <c r="F7" i="13" s="1"/>
  <c r="E19" i="13"/>
  <c r="D19" i="13"/>
  <c r="D18" i="13" s="1"/>
  <c r="C19" i="13"/>
  <c r="Q18" i="13"/>
  <c r="Q17" i="13" s="1"/>
  <c r="Q15" i="13"/>
  <c r="N15" i="13"/>
  <c r="M15" i="13"/>
  <c r="L15" i="13"/>
  <c r="K15" i="13"/>
  <c r="I15" i="13"/>
  <c r="E15" i="13"/>
  <c r="D15" i="13"/>
  <c r="C15" i="13"/>
  <c r="P14" i="13"/>
  <c r="N14" i="13"/>
  <c r="M14" i="13"/>
  <c r="L14" i="13"/>
  <c r="J14" i="13"/>
  <c r="I14" i="13"/>
  <c r="H14" i="13"/>
  <c r="D14" i="13"/>
  <c r="M13" i="13"/>
  <c r="I13" i="13"/>
  <c r="Q12" i="13"/>
  <c r="J12" i="13"/>
  <c r="I12" i="13"/>
  <c r="G12" i="13"/>
  <c r="G11" i="13"/>
  <c r="C10" i="13"/>
  <c r="P9" i="13"/>
  <c r="J9" i="13"/>
  <c r="H9" i="13"/>
  <c r="D9" i="13"/>
  <c r="N8" i="13"/>
  <c r="G7" i="13"/>
  <c r="D7" i="13"/>
  <c r="G206" i="13" l="1"/>
  <c r="G205" i="13" s="1"/>
  <c r="G181" i="13"/>
  <c r="G179" i="13" s="1"/>
  <c r="O179" i="13"/>
  <c r="C12" i="13"/>
  <c r="S53" i="13"/>
  <c r="J7" i="13"/>
  <c r="Q9" i="13"/>
  <c r="C18" i="13"/>
  <c r="C17" i="13" s="1"/>
  <c r="K18" i="13"/>
  <c r="K17" i="13" s="1"/>
  <c r="O18" i="13"/>
  <c r="O17" i="13" s="1"/>
  <c r="D8" i="13"/>
  <c r="L8" i="13"/>
  <c r="F11" i="13"/>
  <c r="K12" i="13"/>
  <c r="R63" i="13"/>
  <c r="I99" i="13"/>
  <c r="I98" i="13" s="1"/>
  <c r="R103" i="13"/>
  <c r="R99" i="13" s="1"/>
  <c r="R98" i="13" s="1"/>
  <c r="R104" i="13"/>
  <c r="F12" i="13"/>
  <c r="N12" i="13"/>
  <c r="N13" i="13"/>
  <c r="S120" i="13"/>
  <c r="S119" i="13" s="1"/>
  <c r="S118" i="13" s="1"/>
  <c r="R131" i="13"/>
  <c r="R130" i="13" s="1"/>
  <c r="S133" i="13"/>
  <c r="S131" i="13" s="1"/>
  <c r="S130" i="13" s="1"/>
  <c r="S145" i="13"/>
  <c r="S143" i="13" s="1"/>
  <c r="S142" i="13" s="1"/>
  <c r="S162" i="13"/>
  <c r="N300" i="13"/>
  <c r="N299" i="13" s="1"/>
  <c r="S203" i="13"/>
  <c r="S186" i="13" s="1"/>
  <c r="S15" i="13" s="1"/>
  <c r="R186" i="13"/>
  <c r="R15" i="13" s="1"/>
  <c r="I18" i="13"/>
  <c r="I17" i="13" s="1"/>
  <c r="L18" i="13"/>
  <c r="L17" i="13" s="1"/>
  <c r="L7" i="13"/>
  <c r="R90" i="13"/>
  <c r="R89" i="13" s="1"/>
  <c r="O11" i="13"/>
  <c r="S101" i="13"/>
  <c r="R155" i="13"/>
  <c r="R154" i="13" s="1"/>
  <c r="R167" i="13"/>
  <c r="R166" i="13" s="1"/>
  <c r="S169" i="13"/>
  <c r="S167" i="13" s="1"/>
  <c r="S166" i="13" s="1"/>
  <c r="O7" i="13"/>
  <c r="D11" i="13"/>
  <c r="D6" i="13" s="1"/>
  <c r="R125" i="13"/>
  <c r="R124" i="13" s="1"/>
  <c r="R149" i="13"/>
  <c r="R148" i="13" s="1"/>
  <c r="S157" i="13"/>
  <c r="S155" i="13" s="1"/>
  <c r="S154" i="13" s="1"/>
  <c r="R173" i="13"/>
  <c r="R172" i="13" s="1"/>
  <c r="C181" i="13"/>
  <c r="S190" i="13"/>
  <c r="S180" i="13" s="1"/>
  <c r="S9" i="13" s="1"/>
  <c r="R180" i="13"/>
  <c r="R9" i="13" s="1"/>
  <c r="E7" i="13"/>
  <c r="M7" i="13"/>
  <c r="G10" i="13"/>
  <c r="O10" i="13"/>
  <c r="C99" i="13"/>
  <c r="C98" i="13" s="1"/>
  <c r="K99" i="13"/>
  <c r="K98" i="13" s="1"/>
  <c r="R119" i="13"/>
  <c r="R118" i="13" s="1"/>
  <c r="J179" i="13"/>
  <c r="J178" i="13" s="1"/>
  <c r="N206" i="13"/>
  <c r="N205" i="13" s="1"/>
  <c r="S247" i="13"/>
  <c r="S246" i="13" s="1"/>
  <c r="S245" i="13" s="1"/>
  <c r="R262" i="13"/>
  <c r="R261" i="13" s="1"/>
  <c r="E269" i="13"/>
  <c r="D270" i="13"/>
  <c r="D269" i="13" s="1"/>
  <c r="M183" i="13"/>
  <c r="R273" i="13"/>
  <c r="R184" i="13" s="1"/>
  <c r="O206" i="13"/>
  <c r="O205" i="13" s="1"/>
  <c r="E206" i="13"/>
  <c r="E205" i="13" s="1"/>
  <c r="M206" i="13"/>
  <c r="M205" i="13" s="1"/>
  <c r="J206" i="13"/>
  <c r="J205" i="13" s="1"/>
  <c r="G230" i="13"/>
  <c r="G229" i="13" s="1"/>
  <c r="S279" i="13"/>
  <c r="S273" i="13" s="1"/>
  <c r="S184" i="13" s="1"/>
  <c r="R282" i="13"/>
  <c r="R281" i="13" s="1"/>
  <c r="G301" i="13"/>
  <c r="M301" i="13"/>
  <c r="M300" i="13" s="1"/>
  <c r="M299" i="13" s="1"/>
  <c r="C303" i="13"/>
  <c r="C11" i="13" s="1"/>
  <c r="M303" i="13"/>
  <c r="D317" i="13"/>
  <c r="D316" i="13" s="1"/>
  <c r="G317" i="13"/>
  <c r="G316" i="13" s="1"/>
  <c r="O317" i="13"/>
  <c r="O316" i="13" s="1"/>
  <c r="D353" i="13"/>
  <c r="D352" i="13" s="1"/>
  <c r="R356" i="13"/>
  <c r="R357" i="13"/>
  <c r="R304" i="13" s="1"/>
  <c r="R378" i="13"/>
  <c r="R377" i="13" s="1"/>
  <c r="S387" i="13"/>
  <c r="S395" i="13"/>
  <c r="S394" i="13" s="1"/>
  <c r="S393" i="13" s="1"/>
  <c r="S423" i="13"/>
  <c r="S422" i="13" s="1"/>
  <c r="S421" i="13" s="1"/>
  <c r="H302" i="13"/>
  <c r="H10" i="13" s="1"/>
  <c r="H317" i="13"/>
  <c r="H316" i="13" s="1"/>
  <c r="L317" i="13"/>
  <c r="L316" i="13" s="1"/>
  <c r="R328" i="13"/>
  <c r="R327" i="13" s="1"/>
  <c r="C353" i="13"/>
  <c r="C352" i="13" s="1"/>
  <c r="I353" i="13"/>
  <c r="I352" i="13" s="1"/>
  <c r="Q353" i="13"/>
  <c r="Q352" i="13" s="1"/>
  <c r="R373" i="13"/>
  <c r="R372" i="13" s="1"/>
  <c r="S219" i="13"/>
  <c r="S218" i="13" s="1"/>
  <c r="S217" i="13" s="1"/>
  <c r="D183" i="13"/>
  <c r="L183" i="13"/>
  <c r="L11" i="13" s="1"/>
  <c r="P183" i="13"/>
  <c r="P179" i="13" s="1"/>
  <c r="P178" i="13" s="1"/>
  <c r="R276" i="13"/>
  <c r="R275" i="13" s="1"/>
  <c r="O301" i="13"/>
  <c r="E303" i="13"/>
  <c r="K303" i="13"/>
  <c r="K11" i="13" s="1"/>
  <c r="R336" i="13"/>
  <c r="R335" i="13" s="1"/>
  <c r="R341" i="13"/>
  <c r="R340" i="13" s="1"/>
  <c r="K353" i="13"/>
  <c r="K352" i="13" s="1"/>
  <c r="S408" i="13"/>
  <c r="S407" i="13" s="1"/>
  <c r="S406" i="13" s="1"/>
  <c r="S28" i="13"/>
  <c r="R19" i="13"/>
  <c r="R81" i="13"/>
  <c r="R80" i="13" s="1"/>
  <c r="S83" i="13"/>
  <c r="E11" i="13"/>
  <c r="E18" i="13"/>
  <c r="E17" i="13" s="1"/>
  <c r="M11" i="13"/>
  <c r="M18" i="13"/>
  <c r="M17" i="13" s="1"/>
  <c r="S20" i="13"/>
  <c r="R36" i="13"/>
  <c r="R35" i="13" s="1"/>
  <c r="S37" i="13"/>
  <c r="S36" i="13" s="1"/>
  <c r="S35" i="13" s="1"/>
  <c r="S90" i="13"/>
  <c r="S89" i="13" s="1"/>
  <c r="I206" i="13"/>
  <c r="I205" i="13" s="1"/>
  <c r="I181" i="13"/>
  <c r="Q8" i="13"/>
  <c r="S209" i="13"/>
  <c r="S290" i="13"/>
  <c r="R272" i="13"/>
  <c r="D17" i="13"/>
  <c r="N11" i="13"/>
  <c r="R45" i="13"/>
  <c r="R44" i="13" s="1"/>
  <c r="S47" i="13"/>
  <c r="R54" i="13"/>
  <c r="R53" i="13" s="1"/>
  <c r="G99" i="13"/>
  <c r="G98" i="13" s="1"/>
  <c r="O99" i="13"/>
  <c r="O98" i="13" s="1"/>
  <c r="F99" i="13"/>
  <c r="F98" i="13" s="1"/>
  <c r="F9" i="13"/>
  <c r="N99" i="13"/>
  <c r="N98" i="13" s="1"/>
  <c r="N9" i="13"/>
  <c r="E99" i="13"/>
  <c r="E98" i="13" s="1"/>
  <c r="E10" i="13"/>
  <c r="M99" i="13"/>
  <c r="M98" i="13" s="1"/>
  <c r="M10" i="13"/>
  <c r="M179" i="13"/>
  <c r="M178" i="13" s="1"/>
  <c r="Q206" i="13"/>
  <c r="Q205" i="13" s="1"/>
  <c r="F299" i="13"/>
  <c r="L300" i="13"/>
  <c r="L299" i="13" s="1"/>
  <c r="L10" i="13"/>
  <c r="L6" i="13" s="1"/>
  <c r="N10" i="13"/>
  <c r="N6" i="13" s="1"/>
  <c r="N5" i="13" s="1"/>
  <c r="N18" i="13"/>
  <c r="N17" i="13" s="1"/>
  <c r="S48" i="13"/>
  <c r="S45" i="13" s="1"/>
  <c r="S44" i="13" s="1"/>
  <c r="R21" i="13"/>
  <c r="G8" i="13"/>
  <c r="G6" i="13" s="1"/>
  <c r="G5" i="13" s="1"/>
  <c r="R22" i="13"/>
  <c r="S31" i="13"/>
  <c r="S22" i="13" s="1"/>
  <c r="H18" i="13"/>
  <c r="H17" i="13" s="1"/>
  <c r="H7" i="13"/>
  <c r="P18" i="13"/>
  <c r="P17" i="13" s="1"/>
  <c r="P7" i="13"/>
  <c r="P8" i="13"/>
  <c r="C13" i="13"/>
  <c r="K13" i="13"/>
  <c r="S32" i="13"/>
  <c r="S23" i="13" s="1"/>
  <c r="S12" i="13" s="1"/>
  <c r="R23" i="13"/>
  <c r="R12" i="13" s="1"/>
  <c r="S173" i="13"/>
  <c r="S172" i="13" s="1"/>
  <c r="G178" i="13"/>
  <c r="R207" i="13"/>
  <c r="S213" i="13"/>
  <c r="R212" i="13"/>
  <c r="R211" i="13" s="1"/>
  <c r="S21" i="13"/>
  <c r="S267" i="13"/>
  <c r="S266" i="13" s="1"/>
  <c r="S265" i="13" s="1"/>
  <c r="R266" i="13"/>
  <c r="R265" i="13" s="1"/>
  <c r="R208" i="13"/>
  <c r="K7" i="13"/>
  <c r="G18" i="13"/>
  <c r="G17" i="13" s="1"/>
  <c r="O8" i="13"/>
  <c r="O6" i="13" s="1"/>
  <c r="O5" i="13" s="1"/>
  <c r="H8" i="13"/>
  <c r="I7" i="13"/>
  <c r="Q7" i="13"/>
  <c r="D13" i="13"/>
  <c r="L13" i="13"/>
  <c r="R24" i="13"/>
  <c r="R13" i="13" s="1"/>
  <c r="S63" i="13"/>
  <c r="S62" i="13" s="1"/>
  <c r="S109" i="13"/>
  <c r="S108" i="13" s="1"/>
  <c r="S104" i="13"/>
  <c r="S125" i="13"/>
  <c r="S124" i="13" s="1"/>
  <c r="S137" i="13"/>
  <c r="S136" i="13" s="1"/>
  <c r="S149" i="13"/>
  <c r="S148" i="13" s="1"/>
  <c r="S161" i="13"/>
  <c r="S160" i="13" s="1"/>
  <c r="F10" i="13"/>
  <c r="F18" i="13"/>
  <c r="F17" i="13" s="1"/>
  <c r="R62" i="13"/>
  <c r="C7" i="13"/>
  <c r="R20" i="13"/>
  <c r="J10" i="13"/>
  <c r="D12" i="13"/>
  <c r="L12" i="13"/>
  <c r="R27" i="13"/>
  <c r="R26" i="13" s="1"/>
  <c r="R72" i="13"/>
  <c r="R71" i="13" s="1"/>
  <c r="S73" i="13"/>
  <c r="S72" i="13" s="1"/>
  <c r="S71" i="13" s="1"/>
  <c r="S81" i="13"/>
  <c r="S80" i="13" s="1"/>
  <c r="O178" i="13"/>
  <c r="E317" i="13"/>
  <c r="E316" i="13" s="1"/>
  <c r="E301" i="13"/>
  <c r="D179" i="13"/>
  <c r="D178" i="13" s="1"/>
  <c r="I270" i="13"/>
  <c r="I269" i="13" s="1"/>
  <c r="I182" i="13"/>
  <c r="I10" i="13" s="1"/>
  <c r="Q270" i="13"/>
  <c r="Q269" i="13" s="1"/>
  <c r="Q182" i="13"/>
  <c r="Q10" i="13" s="1"/>
  <c r="S349" i="13"/>
  <c r="S320" i="13" s="1"/>
  <c r="R320" i="13"/>
  <c r="R303" i="13" s="1"/>
  <c r="P270" i="13"/>
  <c r="P269" i="13" s="1"/>
  <c r="S289" i="13"/>
  <c r="S288" i="13" s="1"/>
  <c r="S287" i="13" s="1"/>
  <c r="R271" i="13"/>
  <c r="R288" i="13"/>
  <c r="R287" i="13" s="1"/>
  <c r="S191" i="13"/>
  <c r="S189" i="13" s="1"/>
  <c r="S188" i="13" s="1"/>
  <c r="Q299" i="13"/>
  <c r="S356" i="13"/>
  <c r="S378" i="13"/>
  <c r="S377" i="13" s="1"/>
  <c r="R196" i="13"/>
  <c r="S202" i="13"/>
  <c r="S185" i="13" s="1"/>
  <c r="S14" i="13" s="1"/>
  <c r="F181" i="13"/>
  <c r="F206" i="13"/>
  <c r="F205" i="13" s="1"/>
  <c r="R230" i="13"/>
  <c r="R229" i="13" s="1"/>
  <c r="S231" i="13"/>
  <c r="S230" i="13" s="1"/>
  <c r="S229" i="13" s="1"/>
  <c r="S272" i="13"/>
  <c r="S276" i="13"/>
  <c r="R401" i="13"/>
  <c r="R400" i="13" s="1"/>
  <c r="R354" i="13"/>
  <c r="S251" i="13"/>
  <c r="S250" i="13" s="1"/>
  <c r="S249" i="13" s="1"/>
  <c r="R250" i="13"/>
  <c r="R249" i="13" s="1"/>
  <c r="G300" i="13"/>
  <c r="G299" i="13" s="1"/>
  <c r="S33" i="13"/>
  <c r="S24" i="13" s="1"/>
  <c r="S198" i="13"/>
  <c r="S197" i="13" s="1"/>
  <c r="R209" i="13"/>
  <c r="R183" i="13" s="1"/>
  <c r="S235" i="13"/>
  <c r="S234" i="13" s="1"/>
  <c r="S233" i="13" s="1"/>
  <c r="R234" i="13"/>
  <c r="R233" i="13" s="1"/>
  <c r="N270" i="13"/>
  <c r="N269" i="13" s="1"/>
  <c r="S295" i="13"/>
  <c r="S294" i="13" s="1"/>
  <c r="S293" i="13" s="1"/>
  <c r="R294" i="13"/>
  <c r="R293" i="13" s="1"/>
  <c r="S402" i="13"/>
  <c r="S401" i="13" s="1"/>
  <c r="S400" i="13" s="1"/>
  <c r="S412" i="13"/>
  <c r="S411" i="13" s="1"/>
  <c r="S410" i="13" s="1"/>
  <c r="R411" i="13"/>
  <c r="R410" i="13" s="1"/>
  <c r="E178" i="13"/>
  <c r="H270" i="13"/>
  <c r="H269" i="13" s="1"/>
  <c r="H183" i="13"/>
  <c r="H11" i="13" s="1"/>
  <c r="O300" i="13"/>
  <c r="O299" i="13" s="1"/>
  <c r="H303" i="13"/>
  <c r="R369" i="13"/>
  <c r="R368" i="13" s="1"/>
  <c r="R355" i="13"/>
  <c r="J301" i="13"/>
  <c r="J317" i="13"/>
  <c r="J316" i="13" s="1"/>
  <c r="R309" i="13"/>
  <c r="R308" i="13" s="1"/>
  <c r="S342" i="13"/>
  <c r="S341" i="13" s="1"/>
  <c r="S340" i="13" s="1"/>
  <c r="D300" i="13"/>
  <c r="D299" i="13" s="1"/>
  <c r="S343" i="13"/>
  <c r="S319" i="13" s="1"/>
  <c r="R319" i="13"/>
  <c r="R302" i="13" s="1"/>
  <c r="S360" i="13"/>
  <c r="S359" i="13" s="1"/>
  <c r="S355" i="13"/>
  <c r="I317" i="13"/>
  <c r="I316" i="13" s="1"/>
  <c r="Q317" i="13"/>
  <c r="Q316" i="13" s="1"/>
  <c r="P317" i="13"/>
  <c r="P316" i="13" s="1"/>
  <c r="S336" i="13"/>
  <c r="S335" i="13" s="1"/>
  <c r="P303" i="13"/>
  <c r="P11" i="13" s="1"/>
  <c r="R346" i="13"/>
  <c r="R345" i="13" s="1"/>
  <c r="S357" i="13"/>
  <c r="S304" i="13" s="1"/>
  <c r="K300" i="13"/>
  <c r="K299" i="13" s="1"/>
  <c r="S310" i="13"/>
  <c r="R301" i="13"/>
  <c r="S346" i="13"/>
  <c r="S345" i="13" s="1"/>
  <c r="S373" i="13"/>
  <c r="S372" i="13" s="1"/>
  <c r="S385" i="13"/>
  <c r="S384" i="13" s="1"/>
  <c r="AX33" i="1"/>
  <c r="AK33" i="1"/>
  <c r="X33" i="1"/>
  <c r="K33" i="1"/>
  <c r="G33" i="1"/>
  <c r="E33" i="1"/>
  <c r="AX32" i="1"/>
  <c r="AK32" i="1"/>
  <c r="X32" i="1"/>
  <c r="K32" i="1"/>
  <c r="G32" i="1"/>
  <c r="E32" i="1"/>
  <c r="AX31" i="1"/>
  <c r="AK31" i="1"/>
  <c r="X31" i="1"/>
  <c r="K31" i="1"/>
  <c r="G31" i="1"/>
  <c r="E31" i="1"/>
  <c r="AX30" i="1"/>
  <c r="AK30" i="1"/>
  <c r="X30" i="1"/>
  <c r="K30" i="1"/>
  <c r="G30" i="1"/>
  <c r="E30" i="1"/>
  <c r="AX29" i="1"/>
  <c r="AK29" i="1"/>
  <c r="X29" i="1"/>
  <c r="K29" i="1"/>
  <c r="G29" i="1"/>
  <c r="E29" i="1"/>
  <c r="AX28" i="1"/>
  <c r="AK28" i="1"/>
  <c r="X28" i="1"/>
  <c r="K28" i="1"/>
  <c r="G28" i="1"/>
  <c r="E28" i="1"/>
  <c r="AX27" i="1"/>
  <c r="AK27" i="1"/>
  <c r="X27" i="1"/>
  <c r="K27" i="1"/>
  <c r="G27" i="1"/>
  <c r="E27" i="1"/>
  <c r="AX26" i="1"/>
  <c r="AK26" i="1"/>
  <c r="X26" i="1"/>
  <c r="K26" i="1"/>
  <c r="G26" i="1"/>
  <c r="E26" i="1"/>
  <c r="AX25" i="1"/>
  <c r="AK25" i="1"/>
  <c r="X25" i="1"/>
  <c r="K25" i="1"/>
  <c r="G25" i="1"/>
  <c r="E25" i="1"/>
  <c r="AX24" i="1"/>
  <c r="AK24" i="1"/>
  <c r="X24" i="1"/>
  <c r="K24" i="1"/>
  <c r="G24" i="1"/>
  <c r="E24" i="1"/>
  <c r="AX23" i="1"/>
  <c r="AK23" i="1"/>
  <c r="X23" i="1"/>
  <c r="K23" i="1"/>
  <c r="G23" i="1"/>
  <c r="E23" i="1"/>
  <c r="AX22" i="1"/>
  <c r="AK22" i="1"/>
  <c r="X22" i="1"/>
  <c r="K22" i="1"/>
  <c r="G22" i="1"/>
  <c r="E22" i="1"/>
  <c r="AX21" i="1"/>
  <c r="AK21" i="1"/>
  <c r="X21" i="1"/>
  <c r="K21" i="1"/>
  <c r="G21" i="1"/>
  <c r="AX20" i="1"/>
  <c r="AK20" i="1"/>
  <c r="AD20" i="1"/>
  <c r="AA20" i="1"/>
  <c r="G20" i="1" s="1"/>
  <c r="K20" i="1"/>
  <c r="AX19" i="1"/>
  <c r="AK19" i="1"/>
  <c r="X19" i="1"/>
  <c r="K19" i="1"/>
  <c r="G19" i="1"/>
  <c r="AX18" i="1"/>
  <c r="AK18" i="1"/>
  <c r="X18" i="1"/>
  <c r="K18" i="1"/>
  <c r="G18" i="1"/>
  <c r="AX17" i="1"/>
  <c r="AK17" i="1"/>
  <c r="X17" i="1"/>
  <c r="K17" i="1"/>
  <c r="G17" i="1"/>
  <c r="AX16" i="1"/>
  <c r="AK16" i="1"/>
  <c r="X16" i="1"/>
  <c r="K16" i="1"/>
  <c r="G16" i="1"/>
  <c r="AX15" i="1"/>
  <c r="AK15" i="1"/>
  <c r="X15" i="1"/>
  <c r="T15" i="1"/>
  <c r="Q15" i="1"/>
  <c r="E15" i="1"/>
  <c r="AX14" i="1"/>
  <c r="AK14" i="1"/>
  <c r="X14" i="1"/>
  <c r="K14" i="1"/>
  <c r="G14" i="1"/>
  <c r="E14" i="1"/>
  <c r="AX13" i="1"/>
  <c r="AK13" i="1"/>
  <c r="X13" i="1"/>
  <c r="K13" i="1"/>
  <c r="G13" i="1"/>
  <c r="E13" i="1"/>
  <c r="AX12" i="1"/>
  <c r="AK12" i="1"/>
  <c r="X12" i="1"/>
  <c r="K12" i="1"/>
  <c r="G12" i="1"/>
  <c r="E12" i="1"/>
  <c r="AX11" i="1"/>
  <c r="AK11" i="1"/>
  <c r="X11" i="1"/>
  <c r="K11" i="1"/>
  <c r="G11" i="1"/>
  <c r="E11" i="1"/>
  <c r="AX10" i="1"/>
  <c r="AK10" i="1"/>
  <c r="X10" i="1"/>
  <c r="K10" i="1"/>
  <c r="G10" i="1"/>
  <c r="E10" i="1"/>
  <c r="AX9" i="1"/>
  <c r="AK9" i="1"/>
  <c r="X9" i="1"/>
  <c r="K9" i="1"/>
  <c r="G9" i="1"/>
  <c r="E9" i="1"/>
  <c r="AX8" i="1"/>
  <c r="AK8" i="1"/>
  <c r="X8" i="1"/>
  <c r="K8" i="1"/>
  <c r="G8" i="1"/>
  <c r="E8" i="1"/>
  <c r="K15" i="1" l="1"/>
  <c r="X20" i="1"/>
  <c r="S302" i="13"/>
  <c r="R317" i="13"/>
  <c r="R316" i="13" s="1"/>
  <c r="S196" i="13"/>
  <c r="S275" i="13"/>
  <c r="C300" i="13"/>
  <c r="C299" i="13" s="1"/>
  <c r="D5" i="13"/>
  <c r="R206" i="13"/>
  <c r="R205" i="13" s="1"/>
  <c r="Q179" i="13"/>
  <c r="Q178" i="13" s="1"/>
  <c r="H300" i="13"/>
  <c r="H299" i="13" s="1"/>
  <c r="S354" i="13"/>
  <c r="K6" i="13"/>
  <c r="K5" i="13" s="1"/>
  <c r="C179" i="13"/>
  <c r="C178" i="13" s="1"/>
  <c r="C8" i="13"/>
  <c r="C6" i="13" s="1"/>
  <c r="C5" i="13" s="1"/>
  <c r="M8" i="13"/>
  <c r="R353" i="13"/>
  <c r="R352" i="13" s="1"/>
  <c r="R270" i="13"/>
  <c r="R269" i="13" s="1"/>
  <c r="S303" i="13"/>
  <c r="S103" i="13"/>
  <c r="S99" i="13" s="1"/>
  <c r="S98" i="13" s="1"/>
  <c r="L179" i="13"/>
  <c r="L178" i="13" s="1"/>
  <c r="J8" i="13"/>
  <c r="J6" i="13" s="1"/>
  <c r="J5" i="13" s="1"/>
  <c r="J300" i="13"/>
  <c r="J299" i="13" s="1"/>
  <c r="S271" i="13"/>
  <c r="S270" i="13" s="1"/>
  <c r="S269" i="13" s="1"/>
  <c r="R181" i="13"/>
  <c r="E300" i="13"/>
  <c r="E299" i="13" s="1"/>
  <c r="E8" i="13"/>
  <c r="E6" i="13" s="1"/>
  <c r="E5" i="13" s="1"/>
  <c r="E3" i="13" s="1"/>
  <c r="L5" i="13"/>
  <c r="M6" i="13"/>
  <c r="M5" i="13" s="1"/>
  <c r="S13" i="13"/>
  <c r="R300" i="13"/>
  <c r="R299" i="13" s="1"/>
  <c r="S212" i="13"/>
  <c r="S211" i="13" s="1"/>
  <c r="S207" i="13"/>
  <c r="R11" i="13"/>
  <c r="S183" i="13"/>
  <c r="S11" i="13" s="1"/>
  <c r="F179" i="13"/>
  <c r="F178" i="13" s="1"/>
  <c r="F8" i="13"/>
  <c r="F6" i="13" s="1"/>
  <c r="F5" i="13" s="1"/>
  <c r="H179" i="13"/>
  <c r="H178" i="13" s="1"/>
  <c r="P6" i="13"/>
  <c r="P5" i="13" s="1"/>
  <c r="P300" i="13"/>
  <c r="P299" i="13" s="1"/>
  <c r="R7" i="13"/>
  <c r="R18" i="13"/>
  <c r="R17" i="13" s="1"/>
  <c r="S309" i="13"/>
  <c r="S308" i="13" s="1"/>
  <c r="S208" i="13"/>
  <c r="S182" i="13" s="1"/>
  <c r="S10" i="13" s="1"/>
  <c r="R8" i="13"/>
  <c r="Q6" i="13"/>
  <c r="Q5" i="13" s="1"/>
  <c r="R182" i="13"/>
  <c r="R10" i="13" s="1"/>
  <c r="S27" i="13"/>
  <c r="S26" i="13" s="1"/>
  <c r="S19" i="13"/>
  <c r="S318" i="13"/>
  <c r="S317" i="13" s="1"/>
  <c r="S316" i="13" s="1"/>
  <c r="S353" i="13"/>
  <c r="S352" i="13" s="1"/>
  <c r="H6" i="13"/>
  <c r="H5" i="13" s="1"/>
  <c r="I179" i="13"/>
  <c r="I178" i="13" s="1"/>
  <c r="I8" i="13"/>
  <c r="I6" i="13" s="1"/>
  <c r="I5" i="13" s="1"/>
  <c r="G15" i="1"/>
  <c r="S301" i="13" l="1"/>
  <c r="S300" i="13" s="1"/>
  <c r="S299" i="13" s="1"/>
  <c r="S18" i="13"/>
  <c r="S17" i="13" s="1"/>
  <c r="S7" i="13"/>
  <c r="R6" i="13"/>
  <c r="R5" i="13" s="1"/>
  <c r="S206" i="13"/>
  <c r="S205" i="13" s="1"/>
  <c r="S181" i="13"/>
  <c r="R179" i="13"/>
  <c r="R178" i="13" s="1"/>
  <c r="BJ94" i="8"/>
  <c r="AS94" i="8"/>
  <c r="AB94" i="8"/>
  <c r="K94" i="8"/>
  <c r="D94" i="8"/>
  <c r="C94" i="8"/>
  <c r="BX93" i="8"/>
  <c r="BT93" i="8"/>
  <c r="BP93" i="8"/>
  <c r="BK93" i="8"/>
  <c r="BG93" i="8"/>
  <c r="BC93" i="8"/>
  <c r="BC87" i="8" s="1"/>
  <c r="AY93" i="8"/>
  <c r="AW93" i="8"/>
  <c r="AT93" i="8"/>
  <c r="AP93" i="8"/>
  <c r="AP87" i="8" s="1"/>
  <c r="AL93" i="8"/>
  <c r="AH93" i="8"/>
  <c r="AH87" i="8" s="1"/>
  <c r="AC93" i="8"/>
  <c r="Y93" i="8"/>
  <c r="L93" i="8"/>
  <c r="BX92" i="8"/>
  <c r="BL92" i="8" s="1"/>
  <c r="H92" i="8" s="1"/>
  <c r="BX91" i="8"/>
  <c r="BT91" i="8"/>
  <c r="BT87" i="8" s="1"/>
  <c r="BP91" i="8"/>
  <c r="BK91" i="8"/>
  <c r="BG91" i="8"/>
  <c r="AU91" i="8"/>
  <c r="AT91" i="8"/>
  <c r="AD91" i="8"/>
  <c r="AC91" i="8"/>
  <c r="G91" i="8" s="1"/>
  <c r="M91" i="8"/>
  <c r="L91" i="8"/>
  <c r="BX90" i="8"/>
  <c r="BL90" i="8"/>
  <c r="BK90" i="8"/>
  <c r="AY90" i="8"/>
  <c r="AW90" i="8"/>
  <c r="AU90" i="8"/>
  <c r="AT90" i="8"/>
  <c r="AD90" i="8"/>
  <c r="AC90" i="8"/>
  <c r="M90" i="8"/>
  <c r="H90" i="8" s="1"/>
  <c r="L90" i="8"/>
  <c r="BX89" i="8"/>
  <c r="BP89" i="8"/>
  <c r="BL89" i="8"/>
  <c r="BK89" i="8"/>
  <c r="AY89" i="8"/>
  <c r="AW89" i="8"/>
  <c r="AT89" i="8"/>
  <c r="AL89" i="8"/>
  <c r="AD89" i="8" s="1"/>
  <c r="AC89" i="8"/>
  <c r="M89" i="8"/>
  <c r="L89" i="8"/>
  <c r="BX88" i="8"/>
  <c r="BT88" i="8"/>
  <c r="BP88" i="8"/>
  <c r="BL88" i="8"/>
  <c r="BK88" i="8"/>
  <c r="BG88" i="8"/>
  <c r="AW88" i="8"/>
  <c r="AT88" i="8"/>
  <c r="AT87" i="8" s="1"/>
  <c r="AD88" i="8"/>
  <c r="AC88" i="8"/>
  <c r="AC87" i="8" s="1"/>
  <c r="M88" i="8"/>
  <c r="L88" i="8"/>
  <c r="G88" i="8" s="1"/>
  <c r="BZ87" i="8"/>
  <c r="BY87" i="8"/>
  <c r="BW87" i="8"/>
  <c r="BV87" i="8"/>
  <c r="BU87" i="8"/>
  <c r="BS87" i="8"/>
  <c r="BR87" i="8"/>
  <c r="BQ87" i="8"/>
  <c r="BP87" i="8"/>
  <c r="BO87" i="8"/>
  <c r="BN87" i="8"/>
  <c r="BM87" i="8"/>
  <c r="BK87" i="8"/>
  <c r="BI87" i="8"/>
  <c r="BH87" i="8"/>
  <c r="BF87" i="8"/>
  <c r="BE87" i="8"/>
  <c r="BD87" i="8"/>
  <c r="BB87" i="8"/>
  <c r="BA87" i="8"/>
  <c r="AZ87" i="8"/>
  <c r="AX87" i="8"/>
  <c r="AV87" i="8"/>
  <c r="AR87" i="8"/>
  <c r="AQ87" i="8"/>
  <c r="AO87" i="8"/>
  <c r="AN87" i="8"/>
  <c r="AM87" i="8"/>
  <c r="AL87" i="8"/>
  <c r="AK87" i="8"/>
  <c r="AJ87" i="8"/>
  <c r="AI87" i="8"/>
  <c r="AG87" i="8"/>
  <c r="AF87" i="8"/>
  <c r="AE87" i="8"/>
  <c r="AA87" i="8"/>
  <c r="Z87" i="8"/>
  <c r="X87" i="8"/>
  <c r="W87" i="8"/>
  <c r="V87" i="8"/>
  <c r="U87" i="8"/>
  <c r="T87" i="8"/>
  <c r="S87" i="8"/>
  <c r="R87" i="8"/>
  <c r="Q87" i="8"/>
  <c r="P87" i="8"/>
  <c r="O87" i="8"/>
  <c r="N87" i="8"/>
  <c r="J87" i="8"/>
  <c r="I87" i="8"/>
  <c r="F87" i="8"/>
  <c r="BN86" i="8"/>
  <c r="BL86" i="8"/>
  <c r="BK86" i="8"/>
  <c r="AW86" i="8"/>
  <c r="AU86" i="8"/>
  <c r="AT86" i="8"/>
  <c r="AF86" i="8"/>
  <c r="AD86" i="8"/>
  <c r="AC86" i="8"/>
  <c r="O86" i="8"/>
  <c r="M86" i="8"/>
  <c r="L86" i="8"/>
  <c r="BN85" i="8"/>
  <c r="BL85" i="8"/>
  <c r="BK85" i="8"/>
  <c r="BK84" i="8" s="1"/>
  <c r="AW85" i="8"/>
  <c r="AU85" i="8"/>
  <c r="AU84" i="8" s="1"/>
  <c r="AT85" i="8"/>
  <c r="AT84" i="8" s="1"/>
  <c r="AF85" i="8"/>
  <c r="AF84" i="8" s="1"/>
  <c r="AD85" i="8"/>
  <c r="AC85" i="8"/>
  <c r="O85" i="8"/>
  <c r="M85" i="8"/>
  <c r="L85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M84" i="8"/>
  <c r="BI84" i="8"/>
  <c r="BH84" i="8"/>
  <c r="BG84" i="8"/>
  <c r="BF84" i="8"/>
  <c r="BE84" i="8"/>
  <c r="BD84" i="8"/>
  <c r="BC84" i="8"/>
  <c r="BB84" i="8"/>
  <c r="BA84" i="8"/>
  <c r="AZ84" i="8"/>
  <c r="AY84" i="8"/>
  <c r="AX84" i="8"/>
  <c r="AW84" i="8"/>
  <c r="AV84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E84" i="8"/>
  <c r="AA84" i="8"/>
  <c r="Z84" i="8"/>
  <c r="Y84" i="8"/>
  <c r="X84" i="8"/>
  <c r="W84" i="8"/>
  <c r="V84" i="8"/>
  <c r="U84" i="8"/>
  <c r="T84" i="8"/>
  <c r="S84" i="8"/>
  <c r="R84" i="8"/>
  <c r="Q84" i="8"/>
  <c r="P84" i="8"/>
  <c r="N84" i="8"/>
  <c r="I84" i="8"/>
  <c r="F84" i="8"/>
  <c r="E84" i="8"/>
  <c r="BX83" i="8"/>
  <c r="BL83" i="8" s="1"/>
  <c r="BK83" i="8"/>
  <c r="BG83" i="8"/>
  <c r="BG81" i="8" s="1"/>
  <c r="AW83" i="8"/>
  <c r="AW81" i="8" s="1"/>
  <c r="AT83" i="8"/>
  <c r="AP83" i="8"/>
  <c r="AD83" i="8"/>
  <c r="AC83" i="8"/>
  <c r="M83" i="8"/>
  <c r="L83" i="8"/>
  <c r="BN82" i="8"/>
  <c r="BN81" i="8" s="1"/>
  <c r="BL82" i="8"/>
  <c r="BK82" i="8"/>
  <c r="AW82" i="8"/>
  <c r="AU82" i="8"/>
  <c r="H82" i="8" s="1"/>
  <c r="AT82" i="8"/>
  <c r="AF82" i="8"/>
  <c r="AF81" i="8" s="1"/>
  <c r="AD82" i="8"/>
  <c r="AC82" i="8"/>
  <c r="O82" i="8"/>
  <c r="O81" i="8" s="1"/>
  <c r="M82" i="8"/>
  <c r="L82" i="8"/>
  <c r="G82" i="8" s="1"/>
  <c r="J82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M81" i="8"/>
  <c r="BL81" i="8"/>
  <c r="BK81" i="8"/>
  <c r="BI81" i="8"/>
  <c r="BH81" i="8"/>
  <c r="BF81" i="8"/>
  <c r="BE81" i="8"/>
  <c r="BD81" i="8"/>
  <c r="BC81" i="8"/>
  <c r="BB81" i="8"/>
  <c r="BA81" i="8"/>
  <c r="AZ81" i="8"/>
  <c r="AY81" i="8"/>
  <c r="AX81" i="8"/>
  <c r="AV81" i="8"/>
  <c r="AT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E81" i="8"/>
  <c r="AD81" i="8"/>
  <c r="AC81" i="8"/>
  <c r="AA81" i="8"/>
  <c r="Z81" i="8"/>
  <c r="Y81" i="8"/>
  <c r="X81" i="8"/>
  <c r="W81" i="8"/>
  <c r="V81" i="8"/>
  <c r="U81" i="8"/>
  <c r="T81" i="8"/>
  <c r="S81" i="8"/>
  <c r="R81" i="8"/>
  <c r="Q81" i="8"/>
  <c r="P81" i="8"/>
  <c r="N81" i="8"/>
  <c r="M81" i="8"/>
  <c r="L81" i="8"/>
  <c r="I81" i="8"/>
  <c r="F81" i="8"/>
  <c r="E81" i="8"/>
  <c r="BX80" i="8"/>
  <c r="BX76" i="8" s="1"/>
  <c r="BK80" i="8"/>
  <c r="AW80" i="8"/>
  <c r="AU80" i="8"/>
  <c r="AT80" i="8"/>
  <c r="AD80" i="8"/>
  <c r="AC80" i="8"/>
  <c r="M80" i="8"/>
  <c r="L80" i="8"/>
  <c r="J80" i="8"/>
  <c r="BL79" i="8"/>
  <c r="BK79" i="8"/>
  <c r="AW79" i="8"/>
  <c r="J79" i="8" s="1"/>
  <c r="AU79" i="8"/>
  <c r="AT79" i="8"/>
  <c r="AD79" i="8"/>
  <c r="AC79" i="8"/>
  <c r="G79" i="8" s="1"/>
  <c r="M79" i="8"/>
  <c r="L79" i="8"/>
  <c r="BL78" i="8"/>
  <c r="BK78" i="8"/>
  <c r="BK76" i="8" s="1"/>
  <c r="AW78" i="8"/>
  <c r="AU78" i="8"/>
  <c r="AT78" i="8"/>
  <c r="AT76" i="8" s="1"/>
  <c r="AD78" i="8"/>
  <c r="AC78" i="8"/>
  <c r="M78" i="8"/>
  <c r="L78" i="8"/>
  <c r="J78" i="8"/>
  <c r="BL77" i="8"/>
  <c r="BK77" i="8"/>
  <c r="AW77" i="8"/>
  <c r="AU77" i="8"/>
  <c r="AU76" i="8" s="1"/>
  <c r="AT77" i="8"/>
  <c r="AD77" i="8"/>
  <c r="AC77" i="8"/>
  <c r="G77" i="8" s="1"/>
  <c r="M77" i="8"/>
  <c r="L77" i="8"/>
  <c r="BZ76" i="8"/>
  <c r="BY76" i="8"/>
  <c r="BW76" i="8"/>
  <c r="BV76" i="8"/>
  <c r="BU76" i="8"/>
  <c r="BT76" i="8"/>
  <c r="BS76" i="8"/>
  <c r="BR76" i="8"/>
  <c r="BQ76" i="8"/>
  <c r="BP76" i="8"/>
  <c r="BO76" i="8"/>
  <c r="BN76" i="8"/>
  <c r="BM76" i="8"/>
  <c r="BI76" i="8"/>
  <c r="BH76" i="8"/>
  <c r="BG76" i="8"/>
  <c r="BF76" i="8"/>
  <c r="BE76" i="8"/>
  <c r="BD76" i="8"/>
  <c r="BC76" i="8"/>
  <c r="BB76" i="8"/>
  <c r="BA76" i="8"/>
  <c r="AZ76" i="8"/>
  <c r="AY76" i="8"/>
  <c r="AX76" i="8"/>
  <c r="AV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C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I76" i="8"/>
  <c r="F76" i="8"/>
  <c r="E76" i="8"/>
  <c r="BL75" i="8"/>
  <c r="BK75" i="8"/>
  <c r="BK74" i="8" s="1"/>
  <c r="AW75" i="8"/>
  <c r="AW74" i="8" s="1"/>
  <c r="AU75" i="8"/>
  <c r="AT75" i="8"/>
  <c r="AT74" i="8" s="1"/>
  <c r="AD75" i="8"/>
  <c r="AC75" i="8"/>
  <c r="AC74" i="8" s="1"/>
  <c r="M75" i="8"/>
  <c r="L75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V74" i="8"/>
  <c r="AU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I74" i="8"/>
  <c r="F74" i="8"/>
  <c r="E74" i="8"/>
  <c r="BL73" i="8"/>
  <c r="BK73" i="8"/>
  <c r="AW73" i="8"/>
  <c r="AU73" i="8"/>
  <c r="AT73" i="8"/>
  <c r="AD73" i="8"/>
  <c r="AC73" i="8"/>
  <c r="M73" i="8"/>
  <c r="L73" i="8"/>
  <c r="BL72" i="8"/>
  <c r="BK72" i="8"/>
  <c r="AY72" i="8"/>
  <c r="AU72" i="8" s="1"/>
  <c r="H72" i="8" s="1"/>
  <c r="AW72" i="8"/>
  <c r="AT72" i="8"/>
  <c r="AH72" i="8"/>
  <c r="AD72" i="8" s="1"/>
  <c r="AC72" i="8"/>
  <c r="M72" i="8"/>
  <c r="L72" i="8"/>
  <c r="BL71" i="8"/>
  <c r="BK71" i="8"/>
  <c r="AY71" i="8"/>
  <c r="AW71" i="8"/>
  <c r="AU71" i="8"/>
  <c r="AT71" i="8"/>
  <c r="AL71" i="8"/>
  <c r="AD71" i="8" s="1"/>
  <c r="AC71" i="8"/>
  <c r="U71" i="8"/>
  <c r="Q71" i="8"/>
  <c r="L71" i="8"/>
  <c r="BT70" i="8"/>
  <c r="BT62" i="8" s="1"/>
  <c r="BL70" i="8"/>
  <c r="BK70" i="8"/>
  <c r="AW70" i="8"/>
  <c r="AU70" i="8"/>
  <c r="AT70" i="8"/>
  <c r="AH70" i="8"/>
  <c r="AD70" i="8" s="1"/>
  <c r="AC70" i="8"/>
  <c r="U70" i="8"/>
  <c r="M70" i="8" s="1"/>
  <c r="L70" i="8"/>
  <c r="BL69" i="8"/>
  <c r="BK69" i="8"/>
  <c r="AW69" i="8"/>
  <c r="AU69" i="8"/>
  <c r="AT69" i="8"/>
  <c r="AD69" i="8"/>
  <c r="AC69" i="8"/>
  <c r="Q69" i="8"/>
  <c r="M69" i="8" s="1"/>
  <c r="H69" i="8" s="1"/>
  <c r="L69" i="8"/>
  <c r="BX68" i="8"/>
  <c r="BL68" i="8" s="1"/>
  <c r="BK68" i="8"/>
  <c r="AW68" i="8"/>
  <c r="AU68" i="8"/>
  <c r="AT68" i="8"/>
  <c r="AH68" i="8"/>
  <c r="AD68" i="8" s="1"/>
  <c r="AC68" i="8"/>
  <c r="G68" i="8" s="1"/>
  <c r="U68" i="8"/>
  <c r="M68" i="8"/>
  <c r="L68" i="8"/>
  <c r="BL67" i="8"/>
  <c r="BK67" i="8"/>
  <c r="AW67" i="8"/>
  <c r="AU67" i="8"/>
  <c r="AT67" i="8"/>
  <c r="AL67" i="8"/>
  <c r="AH67" i="8"/>
  <c r="AD67" i="8"/>
  <c r="AC67" i="8"/>
  <c r="U67" i="8"/>
  <c r="L67" i="8"/>
  <c r="BX66" i="8"/>
  <c r="BP66" i="8"/>
  <c r="BL66" i="8" s="1"/>
  <c r="BK66" i="8"/>
  <c r="BG66" i="8"/>
  <c r="AY66" i="8"/>
  <c r="AY62" i="8" s="1"/>
  <c r="AW66" i="8"/>
  <c r="AT66" i="8"/>
  <c r="AL66" i="8"/>
  <c r="AL62" i="8" s="1"/>
  <c r="AH66" i="8"/>
  <c r="AD66" i="8" s="1"/>
  <c r="AC66" i="8"/>
  <c r="Y66" i="8"/>
  <c r="U66" i="8"/>
  <c r="Q66" i="8"/>
  <c r="M66" i="8" s="1"/>
  <c r="L66" i="8"/>
  <c r="G66" i="8" s="1"/>
  <c r="BN65" i="8"/>
  <c r="BL65" i="8"/>
  <c r="BK65" i="8"/>
  <c r="AW65" i="8"/>
  <c r="AU65" i="8"/>
  <c r="AT65" i="8"/>
  <c r="AF65" i="8"/>
  <c r="AD65" i="8"/>
  <c r="H65" i="8" s="1"/>
  <c r="AC65" i="8"/>
  <c r="O65" i="8"/>
  <c r="M65" i="8"/>
  <c r="L65" i="8"/>
  <c r="G65" i="8" s="1"/>
  <c r="BN64" i="8"/>
  <c r="BL64" i="8"/>
  <c r="BK64" i="8"/>
  <c r="AW64" i="8"/>
  <c r="AU64" i="8"/>
  <c r="AT64" i="8"/>
  <c r="AF64" i="8"/>
  <c r="AD64" i="8"/>
  <c r="AC64" i="8"/>
  <c r="O64" i="8"/>
  <c r="M64" i="8"/>
  <c r="L64" i="8"/>
  <c r="BN63" i="8"/>
  <c r="BN62" i="8" s="1"/>
  <c r="BL63" i="8"/>
  <c r="BK63" i="8"/>
  <c r="AW63" i="8"/>
  <c r="AU63" i="8"/>
  <c r="AT63" i="8"/>
  <c r="AF63" i="8"/>
  <c r="AD63" i="8"/>
  <c r="AC63" i="8"/>
  <c r="O63" i="8"/>
  <c r="M63" i="8"/>
  <c r="L63" i="8"/>
  <c r="BZ62" i="8"/>
  <c r="BY62" i="8"/>
  <c r="BW62" i="8"/>
  <c r="BV62" i="8"/>
  <c r="BU62" i="8"/>
  <c r="BS62" i="8"/>
  <c r="BR62" i="8"/>
  <c r="BQ62" i="8"/>
  <c r="BO62" i="8"/>
  <c r="BM62" i="8"/>
  <c r="BI62" i="8"/>
  <c r="BH62" i="8"/>
  <c r="BF62" i="8"/>
  <c r="BE62" i="8"/>
  <c r="BD62" i="8"/>
  <c r="BC62" i="8"/>
  <c r="BB62" i="8"/>
  <c r="BA62" i="8"/>
  <c r="AZ62" i="8"/>
  <c r="AX62" i="8"/>
  <c r="AV62" i="8"/>
  <c r="AR62" i="8"/>
  <c r="AQ62" i="8"/>
  <c r="AP62" i="8"/>
  <c r="AO62" i="8"/>
  <c r="AN62" i="8"/>
  <c r="AM62" i="8"/>
  <c r="AK62" i="8"/>
  <c r="AJ62" i="8"/>
  <c r="AI62" i="8"/>
  <c r="AG62" i="8"/>
  <c r="AE62" i="8"/>
  <c r="AA62" i="8"/>
  <c r="Z62" i="8"/>
  <c r="Y62" i="8"/>
  <c r="X62" i="8"/>
  <c r="W62" i="8"/>
  <c r="V62" i="8"/>
  <c r="T62" i="8"/>
  <c r="S62" i="8"/>
  <c r="R62" i="8"/>
  <c r="P62" i="8"/>
  <c r="N62" i="8"/>
  <c r="I62" i="8"/>
  <c r="F62" i="8"/>
  <c r="E62" i="8"/>
  <c r="BL61" i="8"/>
  <c r="BK61" i="8"/>
  <c r="AW61" i="8"/>
  <c r="J61" i="8" s="1"/>
  <c r="AU61" i="8"/>
  <c r="AT61" i="8"/>
  <c r="AD61" i="8"/>
  <c r="H61" i="8" s="1"/>
  <c r="AC61" i="8"/>
  <c r="M61" i="8"/>
  <c r="L61" i="8"/>
  <c r="BL60" i="8"/>
  <c r="BK60" i="8"/>
  <c r="AW60" i="8"/>
  <c r="J60" i="8" s="1"/>
  <c r="AU60" i="8"/>
  <c r="AT60" i="8"/>
  <c r="AL60" i="8"/>
  <c r="AD60" i="8"/>
  <c r="AC60" i="8"/>
  <c r="Y60" i="8"/>
  <c r="Y57" i="8" s="1"/>
  <c r="U60" i="8"/>
  <c r="Q60" i="8"/>
  <c r="L60" i="8"/>
  <c r="G60" i="8"/>
  <c r="BN59" i="8"/>
  <c r="BL59" i="8"/>
  <c r="BK59" i="8"/>
  <c r="AW59" i="8"/>
  <c r="AW57" i="8" s="1"/>
  <c r="AU59" i="8"/>
  <c r="AT59" i="8"/>
  <c r="AF59" i="8"/>
  <c r="AD59" i="8"/>
  <c r="AC59" i="8"/>
  <c r="O59" i="8"/>
  <c r="M59" i="8"/>
  <c r="L59" i="8"/>
  <c r="L57" i="8" s="1"/>
  <c r="BN58" i="8"/>
  <c r="BL58" i="8"/>
  <c r="BK58" i="8"/>
  <c r="BK57" i="8" s="1"/>
  <c r="AW58" i="8"/>
  <c r="AU58" i="8"/>
  <c r="AT58" i="8"/>
  <c r="AF58" i="8"/>
  <c r="AD58" i="8"/>
  <c r="AC58" i="8"/>
  <c r="O58" i="8"/>
  <c r="M58" i="8"/>
  <c r="L58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M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V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E57" i="8"/>
  <c r="AA57" i="8"/>
  <c r="Z57" i="8"/>
  <c r="X57" i="8"/>
  <c r="W57" i="8"/>
  <c r="V57" i="8"/>
  <c r="T57" i="8"/>
  <c r="S57" i="8"/>
  <c r="R57" i="8"/>
  <c r="Q57" i="8"/>
  <c r="P57" i="8"/>
  <c r="N57" i="8"/>
  <c r="I57" i="8"/>
  <c r="F57" i="8"/>
  <c r="E57" i="8"/>
  <c r="BL56" i="8"/>
  <c r="BK56" i="8"/>
  <c r="AW56" i="8"/>
  <c r="AU56" i="8"/>
  <c r="AT56" i="8"/>
  <c r="AD56" i="8"/>
  <c r="AC56" i="8"/>
  <c r="M56" i="8"/>
  <c r="L56" i="8"/>
  <c r="G56" i="8" s="1"/>
  <c r="BX55" i="8"/>
  <c r="BT55" i="8"/>
  <c r="BT50" i="8" s="1"/>
  <c r="BP55" i="8"/>
  <c r="BK55" i="8"/>
  <c r="BG55" i="8"/>
  <c r="BC55" i="8"/>
  <c r="AY55" i="8"/>
  <c r="AU55" i="8" s="1"/>
  <c r="AW55" i="8"/>
  <c r="AT55" i="8"/>
  <c r="AP55" i="8"/>
  <c r="AP50" i="8" s="1"/>
  <c r="AL55" i="8"/>
  <c r="AH55" i="8"/>
  <c r="AC55" i="8"/>
  <c r="Y55" i="8"/>
  <c r="M55" i="8" s="1"/>
  <c r="U55" i="8"/>
  <c r="L55" i="8"/>
  <c r="BX54" i="8"/>
  <c r="BP54" i="8"/>
  <c r="BK54" i="8"/>
  <c r="BC54" i="8"/>
  <c r="AW54" i="8"/>
  <c r="AT54" i="8"/>
  <c r="AL54" i="8"/>
  <c r="AD54" i="8"/>
  <c r="AC54" i="8"/>
  <c r="Y54" i="8"/>
  <c r="U54" i="8"/>
  <c r="L54" i="8"/>
  <c r="BN53" i="8"/>
  <c r="BL53" i="8"/>
  <c r="BK53" i="8"/>
  <c r="AW53" i="8"/>
  <c r="AU53" i="8"/>
  <c r="AT53" i="8"/>
  <c r="AF53" i="8"/>
  <c r="AD53" i="8"/>
  <c r="AC53" i="8"/>
  <c r="O53" i="8"/>
  <c r="M53" i="8"/>
  <c r="L53" i="8"/>
  <c r="BN52" i="8"/>
  <c r="BL52" i="8"/>
  <c r="BK52" i="8"/>
  <c r="AW52" i="8"/>
  <c r="AU52" i="8"/>
  <c r="AT52" i="8"/>
  <c r="AF52" i="8"/>
  <c r="AD52" i="8"/>
  <c r="AC52" i="8"/>
  <c r="O52" i="8"/>
  <c r="M52" i="8"/>
  <c r="L52" i="8"/>
  <c r="J52" i="8"/>
  <c r="BP51" i="8"/>
  <c r="BN51" i="8"/>
  <c r="BL51" i="8"/>
  <c r="BK51" i="8"/>
  <c r="BK50" i="8" s="1"/>
  <c r="AW51" i="8"/>
  <c r="AU51" i="8"/>
  <c r="AT51" i="8"/>
  <c r="AF51" i="8"/>
  <c r="AD51" i="8"/>
  <c r="AC51" i="8"/>
  <c r="O51" i="8"/>
  <c r="M51" i="8"/>
  <c r="L51" i="8"/>
  <c r="BZ50" i="8"/>
  <c r="BY50" i="8"/>
  <c r="BX50" i="8"/>
  <c r="BW50" i="8"/>
  <c r="BV50" i="8"/>
  <c r="BU50" i="8"/>
  <c r="BS50" i="8"/>
  <c r="BR50" i="8"/>
  <c r="BQ50" i="8"/>
  <c r="BO50" i="8"/>
  <c r="BM50" i="8"/>
  <c r="BI50" i="8"/>
  <c r="BH50" i="8"/>
  <c r="BG50" i="8"/>
  <c r="BF50" i="8"/>
  <c r="BE50" i="8"/>
  <c r="BD50" i="8"/>
  <c r="BB50" i="8"/>
  <c r="BA50" i="8"/>
  <c r="AZ50" i="8"/>
  <c r="AX50" i="8"/>
  <c r="AV50" i="8"/>
  <c r="AR50" i="8"/>
  <c r="AQ50" i="8"/>
  <c r="AO50" i="8"/>
  <c r="AN50" i="8"/>
  <c r="AM50" i="8"/>
  <c r="AK50" i="8"/>
  <c r="AJ50" i="8"/>
  <c r="AI50" i="8"/>
  <c r="AH50" i="8"/>
  <c r="AG50" i="8"/>
  <c r="AF50" i="8"/>
  <c r="AE50" i="8"/>
  <c r="AA50" i="8"/>
  <c r="Z50" i="8"/>
  <c r="Y50" i="8"/>
  <c r="X50" i="8"/>
  <c r="W50" i="8"/>
  <c r="V50" i="8"/>
  <c r="T50" i="8"/>
  <c r="S50" i="8"/>
  <c r="R50" i="8"/>
  <c r="Q50" i="8"/>
  <c r="P50" i="8"/>
  <c r="N50" i="8"/>
  <c r="I50" i="8"/>
  <c r="F50" i="8"/>
  <c r="E50" i="8"/>
  <c r="BN49" i="8"/>
  <c r="BN48" i="8" s="1"/>
  <c r="BL49" i="8"/>
  <c r="BL48" i="8" s="1"/>
  <c r="BK49" i="8"/>
  <c r="BK48" i="8" s="1"/>
  <c r="AW49" i="8"/>
  <c r="AU49" i="8"/>
  <c r="AT49" i="8"/>
  <c r="AT48" i="8" s="1"/>
  <c r="AF49" i="8"/>
  <c r="AF48" i="8" s="1"/>
  <c r="AD49" i="8"/>
  <c r="AC49" i="8"/>
  <c r="AC48" i="8" s="1"/>
  <c r="O49" i="8"/>
  <c r="O48" i="8" s="1"/>
  <c r="M49" i="8"/>
  <c r="M48" i="8" s="1"/>
  <c r="L49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M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E48" i="8"/>
  <c r="AD48" i="8"/>
  <c r="AA48" i="8"/>
  <c r="Z48" i="8"/>
  <c r="Y48" i="8"/>
  <c r="X48" i="8"/>
  <c r="W48" i="8"/>
  <c r="V48" i="8"/>
  <c r="U48" i="8"/>
  <c r="T48" i="8"/>
  <c r="S48" i="8"/>
  <c r="R48" i="8"/>
  <c r="Q48" i="8"/>
  <c r="P48" i="8"/>
  <c r="N48" i="8"/>
  <c r="L48" i="8"/>
  <c r="I48" i="8"/>
  <c r="F48" i="8"/>
  <c r="E48" i="8"/>
  <c r="BL47" i="8"/>
  <c r="BK47" i="8"/>
  <c r="AW47" i="8"/>
  <c r="AU47" i="8"/>
  <c r="AT47" i="8"/>
  <c r="AD47" i="8"/>
  <c r="AC47" i="8"/>
  <c r="M47" i="8"/>
  <c r="H47" i="8" s="1"/>
  <c r="L47" i="8"/>
  <c r="BL46" i="8"/>
  <c r="BK46" i="8"/>
  <c r="BG46" i="8"/>
  <c r="AW46" i="8"/>
  <c r="AU46" i="8"/>
  <c r="AT46" i="8"/>
  <c r="G46" i="8" s="1"/>
  <c r="AD46" i="8"/>
  <c r="AC46" i="8"/>
  <c r="Y46" i="8"/>
  <c r="Q46" i="8"/>
  <c r="Q42" i="8" s="1"/>
  <c r="L46" i="8"/>
  <c r="BL45" i="8"/>
  <c r="BK45" i="8"/>
  <c r="BG45" i="8"/>
  <c r="BC45" i="8"/>
  <c r="AY45" i="8"/>
  <c r="AY42" i="8" s="1"/>
  <c r="AW45" i="8"/>
  <c r="AU45" i="8"/>
  <c r="AT45" i="8"/>
  <c r="AH45" i="8"/>
  <c r="AH42" i="8" s="1"/>
  <c r="AD45" i="8"/>
  <c r="AC45" i="8"/>
  <c r="G45" i="8" s="1"/>
  <c r="Y45" i="8"/>
  <c r="U45" i="8"/>
  <c r="Q45" i="8"/>
  <c r="M45" i="8"/>
  <c r="L45" i="8"/>
  <c r="BN44" i="8"/>
  <c r="BL44" i="8"/>
  <c r="BL42" i="8" s="1"/>
  <c r="BK44" i="8"/>
  <c r="AW44" i="8"/>
  <c r="AU44" i="8"/>
  <c r="AT44" i="8"/>
  <c r="G44" i="8" s="1"/>
  <c r="AF44" i="8"/>
  <c r="AD44" i="8"/>
  <c r="AC44" i="8"/>
  <c r="O44" i="8"/>
  <c r="M44" i="8"/>
  <c r="L44" i="8"/>
  <c r="BN43" i="8"/>
  <c r="BN42" i="8" s="1"/>
  <c r="BL43" i="8"/>
  <c r="BK43" i="8"/>
  <c r="AW43" i="8"/>
  <c r="AU43" i="8"/>
  <c r="AU42" i="8" s="1"/>
  <c r="AT43" i="8"/>
  <c r="AF43" i="8"/>
  <c r="AD43" i="8"/>
  <c r="AC43" i="8"/>
  <c r="G43" i="8" s="1"/>
  <c r="O43" i="8"/>
  <c r="M43" i="8"/>
  <c r="L43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M42" i="8"/>
  <c r="BI42" i="8"/>
  <c r="BH42" i="8"/>
  <c r="BF42" i="8"/>
  <c r="BE42" i="8"/>
  <c r="BD42" i="8"/>
  <c r="BC42" i="8"/>
  <c r="BB42" i="8"/>
  <c r="BA42" i="8"/>
  <c r="AZ42" i="8"/>
  <c r="AX42" i="8"/>
  <c r="AV42" i="8"/>
  <c r="AR42" i="8"/>
  <c r="AQ42" i="8"/>
  <c r="AP42" i="8"/>
  <c r="AO42" i="8"/>
  <c r="AN42" i="8"/>
  <c r="AM42" i="8"/>
  <c r="AL42" i="8"/>
  <c r="AK42" i="8"/>
  <c r="AJ42" i="8"/>
  <c r="AI42" i="8"/>
  <c r="AG42" i="8"/>
  <c r="AE42" i="8"/>
  <c r="AA42" i="8"/>
  <c r="Z42" i="8"/>
  <c r="X42" i="8"/>
  <c r="W42" i="8"/>
  <c r="V42" i="8"/>
  <c r="U42" i="8"/>
  <c r="T42" i="8"/>
  <c r="S42" i="8"/>
  <c r="R42" i="8"/>
  <c r="P42" i="8"/>
  <c r="O42" i="8"/>
  <c r="N42" i="8"/>
  <c r="I42" i="8"/>
  <c r="F42" i="8"/>
  <c r="E42" i="8"/>
  <c r="BN41" i="8"/>
  <c r="BL41" i="8"/>
  <c r="BK41" i="8"/>
  <c r="AW41" i="8"/>
  <c r="AU41" i="8"/>
  <c r="AT41" i="8"/>
  <c r="AF41" i="8"/>
  <c r="AD41" i="8"/>
  <c r="AC41" i="8"/>
  <c r="O41" i="8"/>
  <c r="M41" i="8"/>
  <c r="L41" i="8"/>
  <c r="BN40" i="8"/>
  <c r="BL40" i="8"/>
  <c r="BK40" i="8"/>
  <c r="AW40" i="8"/>
  <c r="AU40" i="8"/>
  <c r="AT40" i="8"/>
  <c r="AF40" i="8"/>
  <c r="AD40" i="8"/>
  <c r="AC40" i="8"/>
  <c r="O40" i="8"/>
  <c r="M40" i="8"/>
  <c r="L40" i="8"/>
  <c r="BN39" i="8"/>
  <c r="BL39" i="8"/>
  <c r="BK39" i="8"/>
  <c r="AW39" i="8"/>
  <c r="AU39" i="8"/>
  <c r="AT39" i="8"/>
  <c r="AF39" i="8"/>
  <c r="J39" i="8" s="1"/>
  <c r="AD39" i="8"/>
  <c r="AC39" i="8"/>
  <c r="O39" i="8"/>
  <c r="M39" i="8"/>
  <c r="H39" i="8" s="1"/>
  <c r="L39" i="8"/>
  <c r="BN38" i="8"/>
  <c r="BL38" i="8"/>
  <c r="BK38" i="8"/>
  <c r="AW38" i="8"/>
  <c r="AU38" i="8"/>
  <c r="AT38" i="8"/>
  <c r="G38" i="8" s="1"/>
  <c r="AF38" i="8"/>
  <c r="AD38" i="8"/>
  <c r="AC38" i="8"/>
  <c r="O38" i="8"/>
  <c r="M38" i="8"/>
  <c r="L38" i="8"/>
  <c r="BN37" i="8"/>
  <c r="BL37" i="8"/>
  <c r="BK37" i="8"/>
  <c r="AW37" i="8"/>
  <c r="AU37" i="8"/>
  <c r="AT37" i="8"/>
  <c r="AF37" i="8"/>
  <c r="AD37" i="8"/>
  <c r="AC37" i="8"/>
  <c r="O37" i="8"/>
  <c r="M37" i="8"/>
  <c r="L37" i="8"/>
  <c r="J37" i="8"/>
  <c r="BN36" i="8"/>
  <c r="BL36" i="8"/>
  <c r="BK36" i="8"/>
  <c r="AW36" i="8"/>
  <c r="AU36" i="8"/>
  <c r="AT36" i="8"/>
  <c r="AF36" i="8"/>
  <c r="AD36" i="8"/>
  <c r="AC36" i="8"/>
  <c r="O36" i="8"/>
  <c r="M36" i="8"/>
  <c r="H36" i="8" s="1"/>
  <c r="L36" i="8"/>
  <c r="BN35" i="8"/>
  <c r="BL35" i="8"/>
  <c r="BK35" i="8"/>
  <c r="AW35" i="8"/>
  <c r="AU35" i="8"/>
  <c r="AT35" i="8"/>
  <c r="AF35" i="8"/>
  <c r="AD35" i="8"/>
  <c r="AC35" i="8"/>
  <c r="O35" i="8"/>
  <c r="M35" i="8"/>
  <c r="H35" i="8" s="1"/>
  <c r="L35" i="8"/>
  <c r="BN34" i="8"/>
  <c r="BL34" i="8"/>
  <c r="BK34" i="8"/>
  <c r="AW34" i="8"/>
  <c r="AU34" i="8"/>
  <c r="AT34" i="8"/>
  <c r="AF34" i="8"/>
  <c r="AD34" i="8"/>
  <c r="AC34" i="8"/>
  <c r="O34" i="8"/>
  <c r="M34" i="8"/>
  <c r="L34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M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V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E33" i="8"/>
  <c r="AA33" i="8"/>
  <c r="Z33" i="8"/>
  <c r="Y33" i="8"/>
  <c r="X33" i="8"/>
  <c r="W33" i="8"/>
  <c r="V33" i="8"/>
  <c r="U33" i="8"/>
  <c r="T33" i="8"/>
  <c r="S33" i="8"/>
  <c r="R33" i="8"/>
  <c r="Q33" i="8"/>
  <c r="P33" i="8"/>
  <c r="N33" i="8"/>
  <c r="I33" i="8"/>
  <c r="F33" i="8"/>
  <c r="E33" i="8"/>
  <c r="BX32" i="8"/>
  <c r="BX29" i="8" s="1"/>
  <c r="BT32" i="8"/>
  <c r="BP32" i="8"/>
  <c r="BL32" i="8"/>
  <c r="BK32" i="8"/>
  <c r="BG32" i="8"/>
  <c r="BC32" i="8"/>
  <c r="AY32" i="8"/>
  <c r="AU32" i="8" s="1"/>
  <c r="AW32" i="8"/>
  <c r="AT32" i="8"/>
  <c r="AP32" i="8"/>
  <c r="AP29" i="8" s="1"/>
  <c r="AL32" i="8"/>
  <c r="AL29" i="8" s="1"/>
  <c r="AH32" i="8"/>
  <c r="AC32" i="8"/>
  <c r="Y32" i="8"/>
  <c r="U32" i="8"/>
  <c r="Q32" i="8"/>
  <c r="Q29" i="8" s="1"/>
  <c r="L32" i="8"/>
  <c r="BP31" i="8"/>
  <c r="BK31" i="8"/>
  <c r="BG31" i="8"/>
  <c r="AY31" i="8"/>
  <c r="AW31" i="8"/>
  <c r="AT31" i="8"/>
  <c r="AT29" i="8" s="1"/>
  <c r="AL31" i="8"/>
  <c r="AD31" i="8" s="1"/>
  <c r="AC31" i="8"/>
  <c r="M31" i="8"/>
  <c r="L31" i="8"/>
  <c r="L29" i="8" s="1"/>
  <c r="BT30" i="8"/>
  <c r="BN30" i="8"/>
  <c r="BN29" i="8" s="1"/>
  <c r="BL30" i="8"/>
  <c r="BK30" i="8"/>
  <c r="BG30" i="8"/>
  <c r="BC30" i="8"/>
  <c r="BC29" i="8" s="1"/>
  <c r="AY30" i="8"/>
  <c r="AW30" i="8"/>
  <c r="AT30" i="8"/>
  <c r="AL30" i="8"/>
  <c r="AH30" i="8"/>
  <c r="AD30" i="8" s="1"/>
  <c r="AF30" i="8"/>
  <c r="AF29" i="8" s="1"/>
  <c r="AC30" i="8"/>
  <c r="AC29" i="8" s="1"/>
  <c r="Y30" i="8"/>
  <c r="O30" i="8"/>
  <c r="L30" i="8"/>
  <c r="G30" i="8"/>
  <c r="BZ29" i="8"/>
  <c r="BY29" i="8"/>
  <c r="BW29" i="8"/>
  <c r="BV29" i="8"/>
  <c r="BU29" i="8"/>
  <c r="BT29" i="8"/>
  <c r="BS29" i="8"/>
  <c r="BR29" i="8"/>
  <c r="BQ29" i="8"/>
  <c r="BO29" i="8"/>
  <c r="BM29" i="8"/>
  <c r="BI29" i="8"/>
  <c r="BH29" i="8"/>
  <c r="BF29" i="8"/>
  <c r="BE29" i="8"/>
  <c r="BD29" i="8"/>
  <c r="BB29" i="8"/>
  <c r="BA29" i="8"/>
  <c r="AZ29" i="8"/>
  <c r="AX29" i="8"/>
  <c r="AV29" i="8"/>
  <c r="AR29" i="8"/>
  <c r="AQ29" i="8"/>
  <c r="AO29" i="8"/>
  <c r="AN29" i="8"/>
  <c r="AM29" i="8"/>
  <c r="AK29" i="8"/>
  <c r="AJ29" i="8"/>
  <c r="AI29" i="8"/>
  <c r="AG29" i="8"/>
  <c r="AE29" i="8"/>
  <c r="AA29" i="8"/>
  <c r="Z29" i="8"/>
  <c r="X29" i="8"/>
  <c r="W29" i="8"/>
  <c r="V29" i="8"/>
  <c r="U29" i="8"/>
  <c r="T29" i="8"/>
  <c r="S29" i="8"/>
  <c r="R29" i="8"/>
  <c r="P29" i="8"/>
  <c r="O29" i="8"/>
  <c r="N29" i="8"/>
  <c r="I29" i="8"/>
  <c r="F29" i="8"/>
  <c r="E29" i="8"/>
  <c r="BN28" i="8"/>
  <c r="BL28" i="8"/>
  <c r="BK28" i="8"/>
  <c r="AW28" i="8"/>
  <c r="AU28" i="8"/>
  <c r="AT28" i="8"/>
  <c r="AF28" i="8"/>
  <c r="AD28" i="8"/>
  <c r="AC28" i="8"/>
  <c r="O28" i="8"/>
  <c r="M28" i="8"/>
  <c r="H28" i="8" s="1"/>
  <c r="L28" i="8"/>
  <c r="BN27" i="8"/>
  <c r="BL27" i="8"/>
  <c r="BK27" i="8"/>
  <c r="AW27" i="8"/>
  <c r="AU27" i="8"/>
  <c r="AT27" i="8"/>
  <c r="AD27" i="8"/>
  <c r="AC27" i="8"/>
  <c r="M27" i="8"/>
  <c r="L27" i="8"/>
  <c r="BL26" i="8"/>
  <c r="BK26" i="8"/>
  <c r="AW26" i="8"/>
  <c r="AU26" i="8"/>
  <c r="AT26" i="8"/>
  <c r="AD26" i="8"/>
  <c r="AC26" i="8"/>
  <c r="M26" i="8"/>
  <c r="L26" i="8"/>
  <c r="BX25" i="8"/>
  <c r="BL25" i="8" s="1"/>
  <c r="BK25" i="8"/>
  <c r="BG25" i="8"/>
  <c r="BG20" i="8" s="1"/>
  <c r="AW25" i="8"/>
  <c r="AT25" i="8"/>
  <c r="AP25" i="8"/>
  <c r="AP20" i="8" s="1"/>
  <c r="AL25" i="8"/>
  <c r="AD25" i="8" s="1"/>
  <c r="AC25" i="8"/>
  <c r="Y25" i="8"/>
  <c r="Y20" i="8" s="1"/>
  <c r="L25" i="8"/>
  <c r="BN24" i="8"/>
  <c r="BL24" i="8"/>
  <c r="BK24" i="8"/>
  <c r="AW24" i="8"/>
  <c r="AU24" i="8"/>
  <c r="AT24" i="8"/>
  <c r="AF24" i="8"/>
  <c r="AD24" i="8"/>
  <c r="H24" i="8" s="1"/>
  <c r="AC24" i="8"/>
  <c r="O24" i="8"/>
  <c r="M24" i="8"/>
  <c r="L24" i="8"/>
  <c r="J24" i="8"/>
  <c r="BN23" i="8"/>
  <c r="BL23" i="8"/>
  <c r="BK23" i="8"/>
  <c r="AW23" i="8"/>
  <c r="AU23" i="8"/>
  <c r="AT23" i="8"/>
  <c r="AF23" i="8"/>
  <c r="J23" i="8" s="1"/>
  <c r="AD23" i="8"/>
  <c r="AC23" i="8"/>
  <c r="O23" i="8"/>
  <c r="M23" i="8"/>
  <c r="L23" i="8"/>
  <c r="G23" i="8" s="1"/>
  <c r="BN22" i="8"/>
  <c r="BL22" i="8"/>
  <c r="BK22" i="8"/>
  <c r="AW22" i="8"/>
  <c r="AU22" i="8"/>
  <c r="AT22" i="8"/>
  <c r="G22" i="8" s="1"/>
  <c r="AF22" i="8"/>
  <c r="AD22" i="8"/>
  <c r="AC22" i="8"/>
  <c r="O22" i="8"/>
  <c r="J22" i="8" s="1"/>
  <c r="M22" i="8"/>
  <c r="L22" i="8"/>
  <c r="E22" i="8"/>
  <c r="E20" i="8" s="1"/>
  <c r="BN21" i="8"/>
  <c r="BL21" i="8"/>
  <c r="BK21" i="8"/>
  <c r="AW21" i="8"/>
  <c r="AU21" i="8"/>
  <c r="AT21" i="8"/>
  <c r="AF21" i="8"/>
  <c r="J21" i="8" s="1"/>
  <c r="AD21" i="8"/>
  <c r="H21" i="8" s="1"/>
  <c r="AC21" i="8"/>
  <c r="O21" i="8"/>
  <c r="M21" i="8"/>
  <c r="L21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M20" i="8"/>
  <c r="BI20" i="8"/>
  <c r="BH20" i="8"/>
  <c r="BF20" i="8"/>
  <c r="BE20" i="8"/>
  <c r="BD20" i="8"/>
  <c r="BC20" i="8"/>
  <c r="BB20" i="8"/>
  <c r="BA20" i="8"/>
  <c r="AZ20" i="8"/>
  <c r="AY20" i="8"/>
  <c r="AX20" i="8"/>
  <c r="AV20" i="8"/>
  <c r="AR20" i="8"/>
  <c r="AQ20" i="8"/>
  <c r="AO20" i="8"/>
  <c r="AN20" i="8"/>
  <c r="AM20" i="8"/>
  <c r="AK20" i="8"/>
  <c r="AJ20" i="8"/>
  <c r="AI20" i="8"/>
  <c r="AH20" i="8"/>
  <c r="AG20" i="8"/>
  <c r="AE20" i="8"/>
  <c r="AA20" i="8"/>
  <c r="Z20" i="8"/>
  <c r="X20" i="8"/>
  <c r="W20" i="8"/>
  <c r="V20" i="8"/>
  <c r="U20" i="8"/>
  <c r="T20" i="8"/>
  <c r="S20" i="8"/>
  <c r="R20" i="8"/>
  <c r="Q20" i="8"/>
  <c r="P20" i="8"/>
  <c r="N20" i="8"/>
  <c r="L20" i="8"/>
  <c r="I20" i="8"/>
  <c r="F20" i="8"/>
  <c r="BL19" i="8"/>
  <c r="BK19" i="8"/>
  <c r="AW19" i="8"/>
  <c r="AU19" i="8"/>
  <c r="AT19" i="8"/>
  <c r="AD19" i="8"/>
  <c r="AC19" i="8"/>
  <c r="M19" i="8"/>
  <c r="L19" i="8"/>
  <c r="G19" i="8"/>
  <c r="BL18" i="8"/>
  <c r="BK18" i="8"/>
  <c r="AW18" i="8"/>
  <c r="AU18" i="8"/>
  <c r="AT18" i="8"/>
  <c r="AD18" i="8"/>
  <c r="AC18" i="8"/>
  <c r="M18" i="8"/>
  <c r="H18" i="8" s="1"/>
  <c r="L18" i="8"/>
  <c r="BL17" i="8"/>
  <c r="BK17" i="8"/>
  <c r="BG17" i="8"/>
  <c r="BG12" i="8" s="1"/>
  <c r="BC17" i="8"/>
  <c r="AW17" i="8"/>
  <c r="AT17" i="8"/>
  <c r="AD17" i="8"/>
  <c r="AC17" i="8"/>
  <c r="U17" i="8"/>
  <c r="M17" i="8"/>
  <c r="L17" i="8"/>
  <c r="G17" i="8" s="1"/>
  <c r="BN16" i="8"/>
  <c r="BL16" i="8"/>
  <c r="BK16" i="8"/>
  <c r="AW16" i="8"/>
  <c r="AW12" i="8" s="1"/>
  <c r="AU16" i="8"/>
  <c r="AT16" i="8"/>
  <c r="AF16" i="8"/>
  <c r="AD16" i="8"/>
  <c r="AC16" i="8"/>
  <c r="O16" i="8"/>
  <c r="M16" i="8"/>
  <c r="L16" i="8"/>
  <c r="BN15" i="8"/>
  <c r="BL15" i="8"/>
  <c r="BK15" i="8"/>
  <c r="G15" i="8" s="1"/>
  <c r="AW15" i="8"/>
  <c r="AU15" i="8"/>
  <c r="AT15" i="8"/>
  <c r="AF15" i="8"/>
  <c r="AF12" i="8" s="1"/>
  <c r="AD15" i="8"/>
  <c r="AC15" i="8"/>
  <c r="O15" i="8"/>
  <c r="J15" i="8" s="1"/>
  <c r="M15" i="8"/>
  <c r="L15" i="8"/>
  <c r="BN14" i="8"/>
  <c r="BN12" i="8" s="1"/>
  <c r="BL14" i="8"/>
  <c r="BK14" i="8"/>
  <c r="AW14" i="8"/>
  <c r="AU14" i="8"/>
  <c r="AT14" i="8"/>
  <c r="AF14" i="8"/>
  <c r="AD14" i="8"/>
  <c r="AC14" i="8"/>
  <c r="AC12" i="8" s="1"/>
  <c r="O14" i="8"/>
  <c r="M14" i="8"/>
  <c r="L14" i="8"/>
  <c r="H14" i="8"/>
  <c r="BN13" i="8"/>
  <c r="BL13" i="8"/>
  <c r="BL12" i="8" s="1"/>
  <c r="BK13" i="8"/>
  <c r="BK12" i="8" s="1"/>
  <c r="AW13" i="8"/>
  <c r="AU13" i="8"/>
  <c r="AT13" i="8"/>
  <c r="AP13" i="8"/>
  <c r="AP12" i="8" s="1"/>
  <c r="AL13" i="8"/>
  <c r="AL12" i="8" s="1"/>
  <c r="AF13" i="8"/>
  <c r="AC13" i="8"/>
  <c r="O13" i="8"/>
  <c r="J13" i="8" s="1"/>
  <c r="M13" i="8"/>
  <c r="M12" i="8" s="1"/>
  <c r="L13" i="8"/>
  <c r="E13" i="8"/>
  <c r="E12" i="8" s="1"/>
  <c r="BZ12" i="8"/>
  <c r="BY12" i="8"/>
  <c r="BX12" i="8"/>
  <c r="BW12" i="8"/>
  <c r="BV12" i="8"/>
  <c r="BU12" i="8"/>
  <c r="BT12" i="8"/>
  <c r="BS12" i="8"/>
  <c r="BR12" i="8"/>
  <c r="BQ12" i="8"/>
  <c r="BP12" i="8"/>
  <c r="BO12" i="8"/>
  <c r="BM12" i="8"/>
  <c r="BI12" i="8"/>
  <c r="BH12" i="8"/>
  <c r="BF12" i="8"/>
  <c r="BE12" i="8"/>
  <c r="BD12" i="8"/>
  <c r="BC12" i="8"/>
  <c r="BB12" i="8"/>
  <c r="BA12" i="8"/>
  <c r="AZ12" i="8"/>
  <c r="AY12" i="8"/>
  <c r="AX12" i="8"/>
  <c r="AV12" i="8"/>
  <c r="AR12" i="8"/>
  <c r="AQ12" i="8"/>
  <c r="AO12" i="8"/>
  <c r="AN12" i="8"/>
  <c r="AM12" i="8"/>
  <c r="AK12" i="8"/>
  <c r="AJ12" i="8"/>
  <c r="AI12" i="8"/>
  <c r="AH12" i="8"/>
  <c r="AG12" i="8"/>
  <c r="AE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I12" i="8"/>
  <c r="F12" i="8"/>
  <c r="BN11" i="8"/>
  <c r="BL11" i="8"/>
  <c r="BK11" i="8"/>
  <c r="AW11" i="8"/>
  <c r="AU11" i="8"/>
  <c r="AT11" i="8"/>
  <c r="G11" i="8" s="1"/>
  <c r="AF11" i="8"/>
  <c r="AF9" i="8" s="1"/>
  <c r="AD11" i="8"/>
  <c r="AC11" i="8"/>
  <c r="O11" i="8"/>
  <c r="M11" i="8"/>
  <c r="L11" i="8"/>
  <c r="BN10" i="8"/>
  <c r="BL10" i="8"/>
  <c r="BK10" i="8"/>
  <c r="AW10" i="8"/>
  <c r="AU10" i="8"/>
  <c r="AU9" i="8" s="1"/>
  <c r="AT10" i="8"/>
  <c r="AF10" i="8"/>
  <c r="AD10" i="8"/>
  <c r="AD9" i="8" s="1"/>
  <c r="AC10" i="8"/>
  <c r="O10" i="8"/>
  <c r="M10" i="8"/>
  <c r="L10" i="8"/>
  <c r="BZ9" i="8"/>
  <c r="BY9" i="8"/>
  <c r="BX9" i="8"/>
  <c r="BW9" i="8"/>
  <c r="BV9" i="8"/>
  <c r="BU9" i="8"/>
  <c r="BT9" i="8"/>
  <c r="BS9" i="8"/>
  <c r="BR9" i="8"/>
  <c r="BQ9" i="8"/>
  <c r="BP9" i="8"/>
  <c r="BO9" i="8"/>
  <c r="BM9" i="8"/>
  <c r="BI9" i="8"/>
  <c r="BH9" i="8"/>
  <c r="BG9" i="8"/>
  <c r="BF9" i="8"/>
  <c r="BE9" i="8"/>
  <c r="BD9" i="8"/>
  <c r="BC9" i="8"/>
  <c r="BB9" i="8"/>
  <c r="BA9" i="8"/>
  <c r="AZ9" i="8"/>
  <c r="AY9" i="8"/>
  <c r="AX9" i="8"/>
  <c r="AV9" i="8"/>
  <c r="AR9" i="8"/>
  <c r="AQ9" i="8"/>
  <c r="AP9" i="8"/>
  <c r="AO9" i="8"/>
  <c r="AN9" i="8"/>
  <c r="AM9" i="8"/>
  <c r="AL9" i="8"/>
  <c r="AK9" i="8"/>
  <c r="AJ9" i="8"/>
  <c r="AI9" i="8"/>
  <c r="AH9" i="8"/>
  <c r="AG9" i="8"/>
  <c r="AE9" i="8"/>
  <c r="AA9" i="8"/>
  <c r="Z9" i="8"/>
  <c r="Y9" i="8"/>
  <c r="X9" i="8"/>
  <c r="W9" i="8"/>
  <c r="V9" i="8"/>
  <c r="U9" i="8"/>
  <c r="T9" i="8"/>
  <c r="S9" i="8"/>
  <c r="R9" i="8"/>
  <c r="Q9" i="8"/>
  <c r="P9" i="8"/>
  <c r="N9" i="8"/>
  <c r="I9" i="8"/>
  <c r="F9" i="8"/>
  <c r="E9" i="8"/>
  <c r="BN8" i="8"/>
  <c r="BL8" i="8"/>
  <c r="BK8" i="8"/>
  <c r="AW8" i="8"/>
  <c r="AU8" i="8"/>
  <c r="AT8" i="8"/>
  <c r="AF8" i="8"/>
  <c r="AD8" i="8"/>
  <c r="AC8" i="8"/>
  <c r="O8" i="8"/>
  <c r="M8" i="8"/>
  <c r="L8" i="8"/>
  <c r="BN7" i="8"/>
  <c r="BN5" i="8" s="1"/>
  <c r="BL7" i="8"/>
  <c r="BK7" i="8"/>
  <c r="AW7" i="8"/>
  <c r="AU7" i="8"/>
  <c r="AU5" i="8" s="1"/>
  <c r="AT7" i="8"/>
  <c r="AF7" i="8"/>
  <c r="AD7" i="8"/>
  <c r="AC7" i="8"/>
  <c r="AC5" i="8" s="1"/>
  <c r="O7" i="8"/>
  <c r="M7" i="8"/>
  <c r="L7" i="8"/>
  <c r="J7" i="8"/>
  <c r="BN6" i="8"/>
  <c r="BL6" i="8"/>
  <c r="BL5" i="8" s="1"/>
  <c r="BK6" i="8"/>
  <c r="AW6" i="8"/>
  <c r="AU6" i="8"/>
  <c r="AT6" i="8"/>
  <c r="AT5" i="8" s="1"/>
  <c r="AF6" i="8"/>
  <c r="AF5" i="8" s="1"/>
  <c r="AD6" i="8"/>
  <c r="AD5" i="8" s="1"/>
  <c r="AC6" i="8"/>
  <c r="O6" i="8"/>
  <c r="O5" i="8" s="1"/>
  <c r="M6" i="8"/>
  <c r="H6" i="8" s="1"/>
  <c r="L6" i="8"/>
  <c r="BZ5" i="8"/>
  <c r="BY5" i="8"/>
  <c r="BX5" i="8"/>
  <c r="BW5" i="8"/>
  <c r="BV5" i="8"/>
  <c r="BU5" i="8"/>
  <c r="BT5" i="8"/>
  <c r="BS5" i="8"/>
  <c r="BR5" i="8"/>
  <c r="BQ5" i="8"/>
  <c r="BP5" i="8"/>
  <c r="BO5" i="8"/>
  <c r="BM5" i="8"/>
  <c r="BI5" i="8"/>
  <c r="BH5" i="8"/>
  <c r="BG5" i="8"/>
  <c r="BF5" i="8"/>
  <c r="BE5" i="8"/>
  <c r="BD5" i="8"/>
  <c r="BC5" i="8"/>
  <c r="BB5" i="8"/>
  <c r="BA5" i="8"/>
  <c r="AZ5" i="8"/>
  <c r="AY5" i="8"/>
  <c r="AX5" i="8"/>
  <c r="AV5" i="8"/>
  <c r="AR5" i="8"/>
  <c r="AQ5" i="8"/>
  <c r="AP5" i="8"/>
  <c r="AO5" i="8"/>
  <c r="AN5" i="8"/>
  <c r="AM5" i="8"/>
  <c r="AL5" i="8"/>
  <c r="AK5" i="8"/>
  <c r="AK94" i="8" s="1"/>
  <c r="AJ5" i="8"/>
  <c r="AI5" i="8"/>
  <c r="AH5" i="8"/>
  <c r="AG5" i="8"/>
  <c r="AE5" i="8"/>
  <c r="AA5" i="8"/>
  <c r="Z5" i="8"/>
  <c r="Y5" i="8"/>
  <c r="X5" i="8"/>
  <c r="W5" i="8"/>
  <c r="V5" i="8"/>
  <c r="U5" i="8"/>
  <c r="T5" i="8"/>
  <c r="S5" i="8"/>
  <c r="R5" i="8"/>
  <c r="Q5" i="8"/>
  <c r="P5" i="8"/>
  <c r="N5" i="8"/>
  <c r="I5" i="8"/>
  <c r="F5" i="8"/>
  <c r="E5" i="8"/>
  <c r="BN4" i="8"/>
  <c r="BN3" i="8" s="1"/>
  <c r="BL4" i="8"/>
  <c r="BL3" i="8" s="1"/>
  <c r="BK4" i="8"/>
  <c r="BK3" i="8" s="1"/>
  <c r="AW4" i="8"/>
  <c r="AW3" i="8" s="1"/>
  <c r="AU4" i="8"/>
  <c r="AU3" i="8" s="1"/>
  <c r="AT4" i="8"/>
  <c r="AT3" i="8" s="1"/>
  <c r="AF4" i="8"/>
  <c r="AD4" i="8"/>
  <c r="AD3" i="8" s="1"/>
  <c r="AC4" i="8"/>
  <c r="AC3" i="8" s="1"/>
  <c r="O4" i="8"/>
  <c r="M4" i="8"/>
  <c r="L4" i="8"/>
  <c r="BZ3" i="8"/>
  <c r="BZ94" i="8" s="1"/>
  <c r="BY3" i="8"/>
  <c r="BX3" i="8"/>
  <c r="BW3" i="8"/>
  <c r="BV3" i="8"/>
  <c r="BU3" i="8"/>
  <c r="BT3" i="8"/>
  <c r="BS3" i="8"/>
  <c r="BR3" i="8"/>
  <c r="BR94" i="8" s="1"/>
  <c r="BQ3" i="8"/>
  <c r="BP3" i="8"/>
  <c r="BO3" i="8"/>
  <c r="BO94" i="8" s="1"/>
  <c r="BM3" i="8"/>
  <c r="BI3" i="8"/>
  <c r="BH3" i="8"/>
  <c r="BG3" i="8"/>
  <c r="BF3" i="8"/>
  <c r="BF94" i="8" s="1"/>
  <c r="BE3" i="8"/>
  <c r="BD3" i="8"/>
  <c r="BC3" i="8"/>
  <c r="BB3" i="8"/>
  <c r="BA3" i="8"/>
  <c r="AZ3" i="8"/>
  <c r="AY3" i="8"/>
  <c r="AX3" i="8"/>
  <c r="AX94" i="8" s="1"/>
  <c r="AV3" i="8"/>
  <c r="AR3" i="8"/>
  <c r="AQ3" i="8"/>
  <c r="AP3" i="8"/>
  <c r="AO3" i="8"/>
  <c r="AN3" i="8"/>
  <c r="AN94" i="8" s="1"/>
  <c r="AM3" i="8"/>
  <c r="AL3" i="8"/>
  <c r="AK3" i="8"/>
  <c r="AJ3" i="8"/>
  <c r="AJ94" i="8" s="1"/>
  <c r="AI3" i="8"/>
  <c r="AH3" i="8"/>
  <c r="AG3" i="8"/>
  <c r="AF3" i="8"/>
  <c r="AE3" i="8"/>
  <c r="AA3" i="8"/>
  <c r="Z3" i="8"/>
  <c r="Y3" i="8"/>
  <c r="X3" i="8"/>
  <c r="W3" i="8"/>
  <c r="V3" i="8"/>
  <c r="U3" i="8"/>
  <c r="T3" i="8"/>
  <c r="S3" i="8"/>
  <c r="R3" i="8"/>
  <c r="Q3" i="8"/>
  <c r="P3" i="8"/>
  <c r="N3" i="8"/>
  <c r="L3" i="8"/>
  <c r="I3" i="8"/>
  <c r="F3" i="8"/>
  <c r="E3" i="8"/>
  <c r="G19" i="7"/>
  <c r="G18" i="7"/>
  <c r="G17" i="7"/>
  <c r="G12" i="7"/>
  <c r="G14" i="8" l="1"/>
  <c r="AR94" i="8"/>
  <c r="BK5" i="8"/>
  <c r="G6" i="8"/>
  <c r="G5" i="8" s="1"/>
  <c r="H7" i="8"/>
  <c r="G13" i="8"/>
  <c r="H16" i="8"/>
  <c r="G16" i="8"/>
  <c r="G12" i="8" s="1"/>
  <c r="L12" i="8"/>
  <c r="AU20" i="8"/>
  <c r="BN50" i="8"/>
  <c r="E94" i="8"/>
  <c r="AF33" i="8"/>
  <c r="G71" i="8"/>
  <c r="L87" i="8"/>
  <c r="BW94" i="8"/>
  <c r="G4" i="8"/>
  <c r="G3" i="8" s="1"/>
  <c r="J28" i="8"/>
  <c r="J20" i="8" s="1"/>
  <c r="AI94" i="8"/>
  <c r="BL33" i="8"/>
  <c r="H37" i="8"/>
  <c r="H40" i="8"/>
  <c r="H43" i="8"/>
  <c r="H42" i="8" s="1"/>
  <c r="H45" i="8"/>
  <c r="BK42" i="8"/>
  <c r="AW42" i="8"/>
  <c r="G49" i="8"/>
  <c r="G48" i="8" s="1"/>
  <c r="J51" i="8"/>
  <c r="G55" i="8"/>
  <c r="BL57" i="8"/>
  <c r="AF57" i="8"/>
  <c r="G61" i="8"/>
  <c r="H70" i="8"/>
  <c r="M71" i="8"/>
  <c r="H73" i="8"/>
  <c r="J75" i="8"/>
  <c r="J74" i="8" s="1"/>
  <c r="G78" i="8"/>
  <c r="J83" i="8"/>
  <c r="J85" i="8"/>
  <c r="J84" i="8" s="1"/>
  <c r="J86" i="8"/>
  <c r="AW87" i="8"/>
  <c r="AP94" i="8"/>
  <c r="AZ94" i="8"/>
  <c r="H8" i="8"/>
  <c r="BH94" i="8"/>
  <c r="BK9" i="8"/>
  <c r="L9" i="8"/>
  <c r="AW9" i="8"/>
  <c r="BV94" i="8"/>
  <c r="H19" i="8"/>
  <c r="G21" i="8"/>
  <c r="H22" i="8"/>
  <c r="H23" i="8"/>
  <c r="BK20" i="8"/>
  <c r="S94" i="8"/>
  <c r="BG29" i="8"/>
  <c r="AU31" i="8"/>
  <c r="G32" i="8"/>
  <c r="G35" i="8"/>
  <c r="J36" i="8"/>
  <c r="J40" i="8"/>
  <c r="J41" i="8"/>
  <c r="H44" i="8"/>
  <c r="J49" i="8"/>
  <c r="J48" i="8" s="1"/>
  <c r="H49" i="8"/>
  <c r="H48" i="8" s="1"/>
  <c r="AY50" i="8"/>
  <c r="AD55" i="8"/>
  <c r="AU57" i="8"/>
  <c r="BP62" i="8"/>
  <c r="AC62" i="8"/>
  <c r="G64" i="8"/>
  <c r="AU66" i="8"/>
  <c r="G70" i="8"/>
  <c r="G72" i="8"/>
  <c r="G75" i="8"/>
  <c r="G74" i="8" s="1"/>
  <c r="H75" i="8"/>
  <c r="H74" i="8" s="1"/>
  <c r="AD76" i="8"/>
  <c r="H79" i="8"/>
  <c r="G83" i="8"/>
  <c r="G81" i="8" s="1"/>
  <c r="BN84" i="8"/>
  <c r="AA94" i="8"/>
  <c r="J81" i="8"/>
  <c r="R94" i="8"/>
  <c r="Z94" i="8"/>
  <c r="T94" i="8"/>
  <c r="G8" i="8"/>
  <c r="J8" i="8"/>
  <c r="J16" i="8"/>
  <c r="G27" i="8"/>
  <c r="H27" i="8"/>
  <c r="H38" i="8"/>
  <c r="G7" i="8"/>
  <c r="AT9" i="8"/>
  <c r="BL9" i="8"/>
  <c r="AT12" i="8"/>
  <c r="H15" i="8"/>
  <c r="AL20" i="8"/>
  <c r="AT20" i="8"/>
  <c r="AC20" i="8"/>
  <c r="AU25" i="8"/>
  <c r="BL20" i="8"/>
  <c r="AQ94" i="8"/>
  <c r="J30" i="8"/>
  <c r="J29" i="8" s="1"/>
  <c r="AW29" i="8"/>
  <c r="G31" i="8"/>
  <c r="BK29" i="8"/>
  <c r="L33" i="8"/>
  <c r="AW33" i="8"/>
  <c r="G36" i="8"/>
  <c r="G37" i="8"/>
  <c r="J38" i="8"/>
  <c r="AT42" i="8"/>
  <c r="J44" i="8"/>
  <c r="Y42" i="8"/>
  <c r="BG42" i="8"/>
  <c r="BG94" i="8" s="1"/>
  <c r="L42" i="8"/>
  <c r="AU48" i="8"/>
  <c r="O50" i="8"/>
  <c r="AD50" i="8"/>
  <c r="AW50" i="8"/>
  <c r="J53" i="8"/>
  <c r="BL54" i="8"/>
  <c r="AL50" i="8"/>
  <c r="AL94" i="8" s="1"/>
  <c r="AD57" i="8"/>
  <c r="G59" i="8"/>
  <c r="Q62" i="8"/>
  <c r="U62" i="8"/>
  <c r="G69" i="8"/>
  <c r="AD84" i="8"/>
  <c r="G93" i="8"/>
  <c r="S179" i="13"/>
  <c r="S178" i="13" s="1"/>
  <c r="S8" i="13"/>
  <c r="S6" i="13"/>
  <c r="S5" i="13" s="1"/>
  <c r="BX94" i="8"/>
  <c r="H66" i="8"/>
  <c r="BL76" i="8"/>
  <c r="H10" i="8"/>
  <c r="M9" i="8"/>
  <c r="G29" i="8"/>
  <c r="O33" i="8"/>
  <c r="J34" i="8"/>
  <c r="H51" i="8"/>
  <c r="H58" i="8"/>
  <c r="G63" i="8"/>
  <c r="AU88" i="8"/>
  <c r="H88" i="8" s="1"/>
  <c r="BG87" i="8"/>
  <c r="AV94" i="8"/>
  <c r="BD94" i="8"/>
  <c r="H5" i="8"/>
  <c r="O9" i="8"/>
  <c r="J10" i="8"/>
  <c r="AD13" i="8"/>
  <c r="G25" i="8"/>
  <c r="AC33" i="8"/>
  <c r="BN33" i="8"/>
  <c r="G53" i="8"/>
  <c r="BL55" i="8"/>
  <c r="O57" i="8"/>
  <c r="J58" i="8"/>
  <c r="BG62" i="8"/>
  <c r="H63" i="8"/>
  <c r="BK62" i="8"/>
  <c r="H78" i="8"/>
  <c r="O84" i="8"/>
  <c r="BL93" i="8"/>
  <c r="BL87" i="8" s="1"/>
  <c r="I94" i="8"/>
  <c r="AE94" i="8"/>
  <c r="AM94" i="8"/>
  <c r="BE94" i="8"/>
  <c r="BQ94" i="8"/>
  <c r="BY94" i="8"/>
  <c r="J6" i="8"/>
  <c r="AW5" i="8"/>
  <c r="AC9" i="8"/>
  <c r="BN9" i="8"/>
  <c r="AD20" i="8"/>
  <c r="O20" i="8"/>
  <c r="BN20" i="8"/>
  <c r="M25" i="8"/>
  <c r="G28" i="8"/>
  <c r="M32" i="8"/>
  <c r="AD33" i="8"/>
  <c r="G40" i="8"/>
  <c r="J43" i="8"/>
  <c r="J42" i="8" s="1"/>
  <c r="G47" i="8"/>
  <c r="G42" i="8" s="1"/>
  <c r="H53" i="8"/>
  <c r="AT50" i="8"/>
  <c r="AC57" i="8"/>
  <c r="BN57" i="8"/>
  <c r="O62" i="8"/>
  <c r="J63" i="8"/>
  <c r="BL62" i="8"/>
  <c r="AF62" i="8"/>
  <c r="AF94" i="8" s="1"/>
  <c r="M67" i="8"/>
  <c r="H67" i="8" s="1"/>
  <c r="G73" i="8"/>
  <c r="G85" i="8"/>
  <c r="L84" i="8"/>
  <c r="G90" i="8"/>
  <c r="AU62" i="8"/>
  <c r="J77" i="8"/>
  <c r="J76" i="8" s="1"/>
  <c r="AW76" i="8"/>
  <c r="BL84" i="8"/>
  <c r="N94" i="8"/>
  <c r="W94" i="8"/>
  <c r="BT94" i="8"/>
  <c r="H4" i="8"/>
  <c r="H3" i="8" s="1"/>
  <c r="M3" i="8"/>
  <c r="M5" i="8"/>
  <c r="H11" i="8"/>
  <c r="G18" i="8"/>
  <c r="AF20" i="8"/>
  <c r="G24" i="8"/>
  <c r="G20" i="8" s="1"/>
  <c r="G26" i="8"/>
  <c r="J35" i="8"/>
  <c r="G39" i="8"/>
  <c r="AD42" i="8"/>
  <c r="AF42" i="8"/>
  <c r="G52" i="8"/>
  <c r="G54" i="8"/>
  <c r="BC50" i="8"/>
  <c r="BC94" i="8" s="1"/>
  <c r="AU54" i="8"/>
  <c r="AT57" i="8"/>
  <c r="H59" i="8"/>
  <c r="AH62" i="8"/>
  <c r="BX62" i="8"/>
  <c r="L62" i="8"/>
  <c r="AW62" i="8"/>
  <c r="J65" i="8"/>
  <c r="H77" i="8"/>
  <c r="G80" i="8"/>
  <c r="G76" i="8" s="1"/>
  <c r="BL80" i="8"/>
  <c r="H80" i="8" s="1"/>
  <c r="AC84" i="8"/>
  <c r="BX87" i="8"/>
  <c r="AU89" i="8"/>
  <c r="H89" i="8" s="1"/>
  <c r="AY87" i="8"/>
  <c r="M93" i="8"/>
  <c r="Y87" i="8"/>
  <c r="AU93" i="8"/>
  <c r="V94" i="8"/>
  <c r="AO94" i="8"/>
  <c r="L5" i="8"/>
  <c r="Y29" i="8"/>
  <c r="Y94" i="8" s="1"/>
  <c r="M30" i="8"/>
  <c r="AC42" i="8"/>
  <c r="BP50" i="8"/>
  <c r="AC50" i="8"/>
  <c r="M60" i="8"/>
  <c r="H60" i="8" s="1"/>
  <c r="U57" i="8"/>
  <c r="AD62" i="8"/>
  <c r="G67" i="8"/>
  <c r="P94" i="8"/>
  <c r="X94" i="8"/>
  <c r="BA94" i="8"/>
  <c r="BI94" i="8"/>
  <c r="BU94" i="8"/>
  <c r="O3" i="8"/>
  <c r="J4" i="8"/>
  <c r="J3" i="8" s="1"/>
  <c r="J11" i="8"/>
  <c r="H26" i="8"/>
  <c r="G34" i="8"/>
  <c r="G41" i="8"/>
  <c r="AU50" i="8"/>
  <c r="H52" i="8"/>
  <c r="M54" i="8"/>
  <c r="U50" i="8"/>
  <c r="H56" i="8"/>
  <c r="J59" i="8"/>
  <c r="AT62" i="8"/>
  <c r="H64" i="8"/>
  <c r="L74" i="8"/>
  <c r="L76" i="8"/>
  <c r="AU83" i="8"/>
  <c r="H83" i="8" s="1"/>
  <c r="H81" i="8" s="1"/>
  <c r="G86" i="8"/>
  <c r="BL91" i="8"/>
  <c r="H71" i="8"/>
  <c r="H85" i="8"/>
  <c r="M84" i="8"/>
  <c r="AG94" i="8"/>
  <c r="BS94" i="8"/>
  <c r="AU30" i="8"/>
  <c r="AU29" i="8" s="1"/>
  <c r="AY29" i="8"/>
  <c r="AT33" i="8"/>
  <c r="F94" i="8"/>
  <c r="Q94" i="8"/>
  <c r="BB94" i="8"/>
  <c r="BM94" i="8"/>
  <c r="G10" i="8"/>
  <c r="G9" i="8" s="1"/>
  <c r="J14" i="8"/>
  <c r="J12" i="8" s="1"/>
  <c r="AU17" i="8"/>
  <c r="AU12" i="8" s="1"/>
  <c r="AW20" i="8"/>
  <c r="BP29" i="8"/>
  <c r="BP94" i="8" s="1"/>
  <c r="AD32" i="8"/>
  <c r="AD29" i="8" s="1"/>
  <c r="AH29" i="8"/>
  <c r="AH94" i="8" s="1"/>
  <c r="H34" i="8"/>
  <c r="M33" i="8"/>
  <c r="BK33" i="8"/>
  <c r="AU33" i="8"/>
  <c r="H41" i="8"/>
  <c r="G51" i="8"/>
  <c r="L50" i="8"/>
  <c r="G58" i="8"/>
  <c r="G57" i="8" s="1"/>
  <c r="J64" i="8"/>
  <c r="H68" i="8"/>
  <c r="BL74" i="8"/>
  <c r="M76" i="8"/>
  <c r="H86" i="8"/>
  <c r="G89" i="8"/>
  <c r="G87" i="8" s="1"/>
  <c r="H91" i="8"/>
  <c r="AD93" i="8"/>
  <c r="AD87" i="8" s="1"/>
  <c r="BL31" i="8"/>
  <c r="BL29" i="8" s="1"/>
  <c r="M46" i="8"/>
  <c r="H46" i="8" s="1"/>
  <c r="G118" i="7"/>
  <c r="G117" i="7"/>
  <c r="G116" i="7"/>
  <c r="G115" i="7"/>
  <c r="G114" i="7"/>
  <c r="G113" i="7"/>
  <c r="AW94" i="8" l="1"/>
  <c r="BK94" i="8"/>
  <c r="J57" i="8"/>
  <c r="AC94" i="8"/>
  <c r="AY94" i="8"/>
  <c r="U94" i="8"/>
  <c r="J5" i="8"/>
  <c r="M62" i="8"/>
  <c r="H9" i="8"/>
  <c r="M42" i="8"/>
  <c r="H93" i="8"/>
  <c r="H87" i="8" s="1"/>
  <c r="G84" i="8"/>
  <c r="H33" i="8"/>
  <c r="AT94" i="8"/>
  <c r="H54" i="8"/>
  <c r="BN94" i="8"/>
  <c r="H55" i="8"/>
  <c r="M57" i="8"/>
  <c r="J50" i="8"/>
  <c r="J94" i="8"/>
  <c r="BL50" i="8"/>
  <c r="BL94" i="8" s="1"/>
  <c r="AU81" i="8"/>
  <c r="H62" i="8"/>
  <c r="M50" i="8"/>
  <c r="H25" i="8"/>
  <c r="H20" i="8" s="1"/>
  <c r="M20" i="8"/>
  <c r="H50" i="8"/>
  <c r="H31" i="8"/>
  <c r="H17" i="8"/>
  <c r="G33" i="8"/>
  <c r="J33" i="8"/>
  <c r="H76" i="8"/>
  <c r="H13" i="8"/>
  <c r="AD12" i="8"/>
  <c r="AD94" i="8" s="1"/>
  <c r="AU87" i="8"/>
  <c r="G50" i="8"/>
  <c r="H84" i="8"/>
  <c r="O94" i="8"/>
  <c r="L94" i="8"/>
  <c r="H32" i="8"/>
  <c r="H57" i="8"/>
  <c r="M29" i="8"/>
  <c r="H30" i="8"/>
  <c r="H29" i="8" s="1"/>
  <c r="J9" i="8"/>
  <c r="M87" i="8"/>
  <c r="J62" i="8"/>
  <c r="G62" i="8"/>
  <c r="G107" i="7"/>
  <c r="G104" i="7"/>
  <c r="G102" i="7"/>
  <c r="G94" i="8" l="1"/>
  <c r="M94" i="8"/>
  <c r="AU94" i="8"/>
  <c r="H12" i="8"/>
  <c r="H94" i="8" s="1"/>
  <c r="J122" i="7"/>
  <c r="I122" i="7"/>
  <c r="H122" i="7"/>
  <c r="J121" i="7"/>
  <c r="I121" i="7"/>
  <c r="H121" i="7"/>
  <c r="J120" i="7"/>
  <c r="I120" i="7"/>
  <c r="H120" i="7"/>
  <c r="J119" i="7"/>
  <c r="I119" i="7"/>
  <c r="H119" i="7"/>
  <c r="H118" i="7"/>
  <c r="D118" i="7"/>
  <c r="J118" i="7" s="1"/>
  <c r="J117" i="7"/>
  <c r="I117" i="7"/>
  <c r="H117" i="7"/>
  <c r="D117" i="7"/>
  <c r="H116" i="7"/>
  <c r="D116" i="7"/>
  <c r="J116" i="7" s="1"/>
  <c r="H115" i="7"/>
  <c r="D115" i="7"/>
  <c r="J115" i="7" s="1"/>
  <c r="H114" i="7"/>
  <c r="F114" i="7"/>
  <c r="D114" i="7"/>
  <c r="J114" i="7" s="1"/>
  <c r="J113" i="7"/>
  <c r="H113" i="7"/>
  <c r="D113" i="7"/>
  <c r="I113" i="7" s="1"/>
  <c r="G112" i="7"/>
  <c r="F112" i="7"/>
  <c r="E112" i="7"/>
  <c r="C112" i="7"/>
  <c r="H112" i="7" s="1"/>
  <c r="J111" i="7"/>
  <c r="I111" i="7"/>
  <c r="H111" i="7"/>
  <c r="J110" i="7"/>
  <c r="I110" i="7"/>
  <c r="H110" i="7"/>
  <c r="J109" i="7"/>
  <c r="I109" i="7"/>
  <c r="H109" i="7"/>
  <c r="J108" i="7"/>
  <c r="I108" i="7"/>
  <c r="H108" i="7"/>
  <c r="J107" i="7"/>
  <c r="H107" i="7"/>
  <c r="D107" i="7"/>
  <c r="I107" i="7" s="1"/>
  <c r="H106" i="7"/>
  <c r="D106" i="7"/>
  <c r="J106" i="7" s="1"/>
  <c r="J105" i="7"/>
  <c r="H105" i="7"/>
  <c r="D105" i="7"/>
  <c r="I105" i="7" s="1"/>
  <c r="H104" i="7"/>
  <c r="D104" i="7"/>
  <c r="J104" i="7" s="1"/>
  <c r="H103" i="7"/>
  <c r="F103" i="7"/>
  <c r="F101" i="7" s="1"/>
  <c r="D103" i="7"/>
  <c r="J103" i="7" s="1"/>
  <c r="H102" i="7"/>
  <c r="D102" i="7"/>
  <c r="J102" i="7" s="1"/>
  <c r="G101" i="7"/>
  <c r="E101" i="7"/>
  <c r="C101" i="7"/>
  <c r="H97" i="7"/>
  <c r="I97" i="7"/>
  <c r="J97" i="7"/>
  <c r="H98" i="7"/>
  <c r="I98" i="7"/>
  <c r="J98" i="7"/>
  <c r="H99" i="7"/>
  <c r="I99" i="7"/>
  <c r="J99" i="7"/>
  <c r="H100" i="7"/>
  <c r="I100" i="7"/>
  <c r="J100" i="7"/>
  <c r="E90" i="7"/>
  <c r="G90" i="7"/>
  <c r="C90" i="7"/>
  <c r="H96" i="7"/>
  <c r="D96" i="7"/>
  <c r="J96" i="7" s="1"/>
  <c r="H95" i="7"/>
  <c r="D95" i="7"/>
  <c r="I95" i="7" s="1"/>
  <c r="H94" i="7"/>
  <c r="D94" i="7"/>
  <c r="J94" i="7" s="1"/>
  <c r="J93" i="7"/>
  <c r="H93" i="7"/>
  <c r="D93" i="7"/>
  <c r="I93" i="7" s="1"/>
  <c r="H92" i="7"/>
  <c r="F92" i="7"/>
  <c r="F90" i="7" s="1"/>
  <c r="D92" i="7"/>
  <c r="J92" i="7" s="1"/>
  <c r="H91" i="7"/>
  <c r="D91" i="7"/>
  <c r="J91" i="7" s="1"/>
  <c r="H19" i="7"/>
  <c r="H18" i="7"/>
  <c r="H17" i="7"/>
  <c r="B21" i="2"/>
  <c r="J95" i="7" l="1"/>
  <c r="D90" i="7"/>
  <c r="I115" i="7"/>
  <c r="I103" i="7"/>
  <c r="H90" i="7"/>
  <c r="H101" i="7"/>
  <c r="I114" i="7"/>
  <c r="I116" i="7"/>
  <c r="I118" i="7"/>
  <c r="D112" i="7"/>
  <c r="D101" i="7"/>
  <c r="I102" i="7"/>
  <c r="I104" i="7"/>
  <c r="I106" i="7"/>
  <c r="I92" i="7"/>
  <c r="I94" i="7"/>
  <c r="I91" i="7"/>
  <c r="I96" i="7"/>
  <c r="J112" i="7" l="1"/>
  <c r="I112" i="7"/>
  <c r="J101" i="7"/>
  <c r="I101" i="7"/>
  <c r="J90" i="7"/>
  <c r="I90" i="7"/>
  <c r="V13" i="3"/>
  <c r="G23" i="9" l="1"/>
  <c r="F26" i="4" l="1"/>
  <c r="F25" i="4"/>
  <c r="E24" i="4"/>
  <c r="E12" i="4"/>
  <c r="E11" i="4" s="1"/>
  <c r="E10" i="4" s="1"/>
  <c r="E7" i="4" s="1"/>
  <c r="U13" i="3"/>
  <c r="T13" i="3" l="1"/>
  <c r="Q24" i="9" l="1"/>
  <c r="H89" i="7" l="1"/>
  <c r="D89" i="7"/>
  <c r="J89" i="7" s="1"/>
  <c r="H88" i="7"/>
  <c r="D88" i="7"/>
  <c r="J88" i="7" s="1"/>
  <c r="H87" i="7"/>
  <c r="D87" i="7"/>
  <c r="I87" i="7" s="1"/>
  <c r="H86" i="7"/>
  <c r="D86" i="7"/>
  <c r="J86" i="7" s="1"/>
  <c r="H85" i="7"/>
  <c r="F85" i="7"/>
  <c r="F83" i="7" s="1"/>
  <c r="D85" i="7"/>
  <c r="J85" i="7" s="1"/>
  <c r="H84" i="7"/>
  <c r="D84" i="7"/>
  <c r="J84" i="7" s="1"/>
  <c r="G83" i="7"/>
  <c r="E83" i="7"/>
  <c r="C83" i="7"/>
  <c r="J82" i="7"/>
  <c r="I82" i="7"/>
  <c r="H82" i="7"/>
  <c r="D82" i="7"/>
  <c r="H81" i="7"/>
  <c r="D81" i="7"/>
  <c r="J81" i="7" s="1"/>
  <c r="J80" i="7"/>
  <c r="H80" i="7"/>
  <c r="D80" i="7"/>
  <c r="I80" i="7" s="1"/>
  <c r="H79" i="7"/>
  <c r="D79" i="7"/>
  <c r="J79" i="7" s="1"/>
  <c r="H78" i="7"/>
  <c r="F78" i="7"/>
  <c r="D78" i="7"/>
  <c r="J78" i="7" s="1"/>
  <c r="H77" i="7"/>
  <c r="D77" i="7"/>
  <c r="G76" i="7"/>
  <c r="F76" i="7"/>
  <c r="E76" i="7"/>
  <c r="C76" i="7"/>
  <c r="H76" i="7" s="1"/>
  <c r="H75" i="7"/>
  <c r="D75" i="7"/>
  <c r="J75" i="7" s="1"/>
  <c r="H74" i="7"/>
  <c r="D74" i="7"/>
  <c r="J74" i="7" s="1"/>
  <c r="I73" i="7"/>
  <c r="H73" i="7"/>
  <c r="D73" i="7"/>
  <c r="J73" i="7" s="1"/>
  <c r="H72" i="7"/>
  <c r="D72" i="7"/>
  <c r="J72" i="7" s="1"/>
  <c r="H71" i="7"/>
  <c r="F71" i="7"/>
  <c r="F69" i="7" s="1"/>
  <c r="D71" i="7"/>
  <c r="J71" i="7" s="1"/>
  <c r="H70" i="7"/>
  <c r="D70" i="7"/>
  <c r="I70" i="7" s="1"/>
  <c r="G69" i="7"/>
  <c r="E69" i="7"/>
  <c r="C69" i="7"/>
  <c r="H68" i="7"/>
  <c r="D68" i="7"/>
  <c r="I68" i="7" s="1"/>
  <c r="H67" i="7"/>
  <c r="D67" i="7"/>
  <c r="I67" i="7" s="1"/>
  <c r="H66" i="7"/>
  <c r="D66" i="7"/>
  <c r="I66" i="7" s="1"/>
  <c r="E65" i="7"/>
  <c r="H65" i="7" s="1"/>
  <c r="D65" i="7"/>
  <c r="I65" i="7" s="1"/>
  <c r="H64" i="7"/>
  <c r="F64" i="7"/>
  <c r="F62" i="7" s="1"/>
  <c r="D64" i="7"/>
  <c r="J64" i="7" s="1"/>
  <c r="H63" i="7"/>
  <c r="D63" i="7"/>
  <c r="I63" i="7" s="1"/>
  <c r="G62" i="7"/>
  <c r="C62" i="7"/>
  <c r="H61" i="7"/>
  <c r="D61" i="7"/>
  <c r="J61" i="7" s="1"/>
  <c r="J60" i="7"/>
  <c r="H60" i="7"/>
  <c r="D60" i="7"/>
  <c r="I60" i="7" s="1"/>
  <c r="H59" i="7"/>
  <c r="D59" i="7"/>
  <c r="J59" i="7" s="1"/>
  <c r="H58" i="7"/>
  <c r="F58" i="7"/>
  <c r="D58" i="7"/>
  <c r="J58" i="7" s="1"/>
  <c r="H57" i="7"/>
  <c r="F57" i="7"/>
  <c r="F55" i="7" s="1"/>
  <c r="D57" i="7"/>
  <c r="H56" i="7"/>
  <c r="D56" i="7"/>
  <c r="I56" i="7" s="1"/>
  <c r="G55" i="7"/>
  <c r="E55" i="7"/>
  <c r="C55" i="7"/>
  <c r="H55" i="7" s="1"/>
  <c r="H54" i="7"/>
  <c r="D54" i="7"/>
  <c r="I54" i="7" s="1"/>
  <c r="H53" i="7"/>
  <c r="D53" i="7"/>
  <c r="I53" i="7" s="1"/>
  <c r="H52" i="7"/>
  <c r="D52" i="7"/>
  <c r="J52" i="7" s="1"/>
  <c r="J51" i="7"/>
  <c r="H51" i="7"/>
  <c r="F51" i="7"/>
  <c r="D51" i="7"/>
  <c r="J50" i="7"/>
  <c r="H50" i="7"/>
  <c r="F50" i="7"/>
  <c r="F48" i="7" s="1"/>
  <c r="D50" i="7"/>
  <c r="H49" i="7"/>
  <c r="D49" i="7"/>
  <c r="J49" i="7" s="1"/>
  <c r="G48" i="7"/>
  <c r="E48" i="7"/>
  <c r="C48" i="7"/>
  <c r="I47" i="7"/>
  <c r="H47" i="7"/>
  <c r="D47" i="7"/>
  <c r="J47" i="7" s="1"/>
  <c r="H46" i="7"/>
  <c r="D46" i="7"/>
  <c r="J46" i="7" s="1"/>
  <c r="H45" i="7"/>
  <c r="D45" i="7"/>
  <c r="I45" i="7" s="1"/>
  <c r="H44" i="7"/>
  <c r="F44" i="7"/>
  <c r="D44" i="7"/>
  <c r="J44" i="7" s="1"/>
  <c r="H43" i="7"/>
  <c r="F43" i="7"/>
  <c r="D43" i="7"/>
  <c r="J43" i="7" s="1"/>
  <c r="H42" i="7"/>
  <c r="D42" i="7"/>
  <c r="G41" i="7"/>
  <c r="E41" i="7"/>
  <c r="C41" i="7"/>
  <c r="H40" i="7"/>
  <c r="G40" i="7"/>
  <c r="D40" i="7"/>
  <c r="I40" i="7" s="1"/>
  <c r="H39" i="7"/>
  <c r="D39" i="7"/>
  <c r="J39" i="7" s="1"/>
  <c r="H38" i="7"/>
  <c r="D38" i="7"/>
  <c r="J38" i="7" s="1"/>
  <c r="H37" i="7"/>
  <c r="F37" i="7"/>
  <c r="D37" i="7"/>
  <c r="J37" i="7" s="1"/>
  <c r="H36" i="7"/>
  <c r="F36" i="7"/>
  <c r="D36" i="7"/>
  <c r="J36" i="7" s="1"/>
  <c r="G35" i="7"/>
  <c r="J35" i="7" s="1"/>
  <c r="D35" i="7"/>
  <c r="G34" i="7"/>
  <c r="E34" i="7"/>
  <c r="C34" i="7"/>
  <c r="H33" i="7"/>
  <c r="D33" i="7"/>
  <c r="J33" i="7" s="1"/>
  <c r="H32" i="7"/>
  <c r="D32" i="7"/>
  <c r="J32" i="7" s="1"/>
  <c r="H31" i="7"/>
  <c r="D31" i="7"/>
  <c r="J31" i="7" s="1"/>
  <c r="H30" i="7"/>
  <c r="F30" i="7"/>
  <c r="D30" i="7"/>
  <c r="J30" i="7" s="1"/>
  <c r="H29" i="7"/>
  <c r="F29" i="7"/>
  <c r="F27" i="7" s="1"/>
  <c r="D29" i="7"/>
  <c r="H28" i="7"/>
  <c r="D28" i="7"/>
  <c r="J28" i="7" s="1"/>
  <c r="G27" i="7"/>
  <c r="E27" i="7"/>
  <c r="C27" i="7"/>
  <c r="H27" i="7" s="1"/>
  <c r="D20" i="7"/>
  <c r="J19" i="7"/>
  <c r="I19" i="7"/>
  <c r="J18" i="7"/>
  <c r="I18" i="7"/>
  <c r="J17" i="7"/>
  <c r="I17" i="7"/>
  <c r="J16" i="7"/>
  <c r="I16" i="7"/>
  <c r="H16" i="7"/>
  <c r="J15" i="7"/>
  <c r="I15" i="7"/>
  <c r="H15" i="7"/>
  <c r="J14" i="7"/>
  <c r="I14" i="7"/>
  <c r="H14" i="7"/>
  <c r="J13" i="7"/>
  <c r="F13" i="7"/>
  <c r="I13" i="7" s="1"/>
  <c r="E13" i="7"/>
  <c r="H13" i="7" s="1"/>
  <c r="J12" i="7"/>
  <c r="I12" i="7"/>
  <c r="H12" i="7"/>
  <c r="J11" i="7"/>
  <c r="I11" i="7"/>
  <c r="H11" i="7"/>
  <c r="I10" i="7"/>
  <c r="G10" i="7"/>
  <c r="J10" i="7" s="1"/>
  <c r="I9" i="7"/>
  <c r="G9" i="7"/>
  <c r="G20" i="7" s="1"/>
  <c r="J8" i="7"/>
  <c r="I8" i="7"/>
  <c r="H41" i="7" l="1"/>
  <c r="I43" i="7"/>
  <c r="J63" i="7"/>
  <c r="J66" i="7"/>
  <c r="D76" i="7"/>
  <c r="I30" i="7"/>
  <c r="H34" i="7"/>
  <c r="J45" i="7"/>
  <c r="H48" i="7"/>
  <c r="I51" i="7"/>
  <c r="J53" i="7"/>
  <c r="D55" i="7"/>
  <c r="I55" i="7" s="1"/>
  <c r="I58" i="7"/>
  <c r="J68" i="7"/>
  <c r="I78" i="7"/>
  <c r="H83" i="7"/>
  <c r="I20" i="7"/>
  <c r="D34" i="7"/>
  <c r="I37" i="7"/>
  <c r="D62" i="7"/>
  <c r="J62" i="7" s="1"/>
  <c r="J9" i="7"/>
  <c r="J20" i="7" s="1"/>
  <c r="F20" i="7"/>
  <c r="D27" i="7"/>
  <c r="I32" i="7"/>
  <c r="E62" i="7"/>
  <c r="H62" i="7" s="1"/>
  <c r="H69" i="7"/>
  <c r="I71" i="7"/>
  <c r="I75" i="7"/>
  <c r="I35" i="7"/>
  <c r="J40" i="7"/>
  <c r="D41" i="7"/>
  <c r="F41" i="7"/>
  <c r="J56" i="7"/>
  <c r="J34" i="7"/>
  <c r="J27" i="7"/>
  <c r="I27" i="7"/>
  <c r="J76" i="7"/>
  <c r="I76" i="7"/>
  <c r="I39" i="7"/>
  <c r="I85" i="7"/>
  <c r="I29" i="7"/>
  <c r="I42" i="7"/>
  <c r="I52" i="7"/>
  <c r="J29" i="7"/>
  <c r="I31" i="7"/>
  <c r="I33" i="7"/>
  <c r="J42" i="7"/>
  <c r="D48" i="7"/>
  <c r="J54" i="7"/>
  <c r="I57" i="7"/>
  <c r="J65" i="7"/>
  <c r="J67" i="7"/>
  <c r="J70" i="7"/>
  <c r="I72" i="7"/>
  <c r="I74" i="7"/>
  <c r="I77" i="7"/>
  <c r="D83" i="7"/>
  <c r="I89" i="7"/>
  <c r="I36" i="7"/>
  <c r="I44" i="7"/>
  <c r="I46" i="7"/>
  <c r="I49" i="7"/>
  <c r="J57" i="7"/>
  <c r="I59" i="7"/>
  <c r="I61" i="7"/>
  <c r="J77" i="7"/>
  <c r="I79" i="7"/>
  <c r="I81" i="7"/>
  <c r="I84" i="7"/>
  <c r="I50" i="7"/>
  <c r="J87" i="7"/>
  <c r="I38" i="7"/>
  <c r="I64" i="7"/>
  <c r="I86" i="7"/>
  <c r="I88" i="7"/>
  <c r="F34" i="7"/>
  <c r="I34" i="7" s="1"/>
  <c r="D69" i="7"/>
  <c r="I28" i="7"/>
  <c r="I41" i="7" l="1"/>
  <c r="J55" i="7"/>
  <c r="I62" i="7"/>
  <c r="J41" i="7"/>
  <c r="I83" i="7"/>
  <c r="J83" i="7"/>
  <c r="J48" i="7"/>
  <c r="I48" i="7"/>
  <c r="I69" i="7"/>
  <c r="J69" i="7"/>
  <c r="K11" i="3" l="1"/>
  <c r="R13" i="3"/>
  <c r="Q13" i="3" l="1"/>
  <c r="E42" i="6" l="1"/>
  <c r="D42" i="6"/>
  <c r="I21" i="6"/>
  <c r="H9" i="6"/>
  <c r="H10" i="6"/>
  <c r="H11" i="6"/>
  <c r="H12" i="6"/>
  <c r="H13" i="6"/>
  <c r="H14" i="6"/>
  <c r="H15" i="6"/>
  <c r="H16" i="6"/>
  <c r="H17" i="6"/>
  <c r="H18" i="6"/>
  <c r="H19" i="6"/>
  <c r="H20" i="6"/>
  <c r="G21" i="6"/>
  <c r="F21" i="6"/>
  <c r="E9" i="6"/>
  <c r="E10" i="6"/>
  <c r="E11" i="6"/>
  <c r="E21" i="6" s="1"/>
  <c r="E12" i="6"/>
  <c r="E13" i="6"/>
  <c r="E14" i="6"/>
  <c r="E15" i="6"/>
  <c r="E16" i="6"/>
  <c r="E17" i="6"/>
  <c r="E18" i="6"/>
  <c r="E19" i="6"/>
  <c r="E20" i="6"/>
  <c r="D21" i="6"/>
  <c r="C21" i="6"/>
  <c r="H43" i="9"/>
  <c r="I43" i="9"/>
  <c r="J43" i="9"/>
  <c r="K43" i="9"/>
  <c r="B43" i="9" s="1"/>
  <c r="L43" i="9"/>
  <c r="N43" i="9"/>
  <c r="O43" i="9"/>
  <c r="P43" i="9"/>
  <c r="Q43" i="9"/>
  <c r="R43" i="9"/>
  <c r="S43" i="9"/>
  <c r="M64" i="3"/>
  <c r="M16" i="2" s="1"/>
  <c r="L64" i="3"/>
  <c r="M53" i="3"/>
  <c r="L53" i="3"/>
  <c r="M42" i="3"/>
  <c r="M14" i="2" s="1"/>
  <c r="L42" i="3"/>
  <c r="M31" i="3"/>
  <c r="L31" i="3"/>
  <c r="L20" i="3"/>
  <c r="M20" i="3"/>
  <c r="M13" i="3"/>
  <c r="M9" i="3" s="1"/>
  <c r="M8" i="3" s="1"/>
  <c r="L232" i="9"/>
  <c r="L224" i="9"/>
  <c r="L223" i="9" s="1"/>
  <c r="L214" i="9"/>
  <c r="L206" i="9"/>
  <c r="L205" i="9" s="1"/>
  <c r="L201" i="9"/>
  <c r="L198" i="9"/>
  <c r="L192" i="9"/>
  <c r="L190" i="9" s="1"/>
  <c r="L187" i="9"/>
  <c r="L185" i="9" s="1"/>
  <c r="L164" i="9"/>
  <c r="L157" i="9"/>
  <c r="L144" i="9"/>
  <c r="L122" i="9"/>
  <c r="L121" i="9" s="1"/>
  <c r="L119" i="9" s="1"/>
  <c r="L116" i="9"/>
  <c r="L113" i="9"/>
  <c r="L110" i="9"/>
  <c r="L106" i="9"/>
  <c r="L103" i="9"/>
  <c r="L100" i="9"/>
  <c r="L91" i="9"/>
  <c r="L90" i="9" s="1"/>
  <c r="L75" i="9"/>
  <c r="L67" i="9"/>
  <c r="L53" i="9"/>
  <c r="L31" i="9"/>
  <c r="L24" i="9"/>
  <c r="L13" i="9"/>
  <c r="L12" i="9" s="1"/>
  <c r="L11" i="9" s="1"/>
  <c r="K232" i="9"/>
  <c r="K224" i="9"/>
  <c r="K214" i="9"/>
  <c r="K206" i="9"/>
  <c r="K201" i="9"/>
  <c r="K198" i="9" s="1"/>
  <c r="K192" i="9"/>
  <c r="K190" i="9" s="1"/>
  <c r="K187" i="9"/>
  <c r="K185" i="9" s="1"/>
  <c r="K164" i="9"/>
  <c r="K157" i="9"/>
  <c r="K144" i="9"/>
  <c r="K122" i="9"/>
  <c r="K121" i="9" s="1"/>
  <c r="K119" i="9" s="1"/>
  <c r="K116" i="9"/>
  <c r="K113" i="9"/>
  <c r="K110" i="9"/>
  <c r="K106" i="9"/>
  <c r="K103" i="9"/>
  <c r="K100" i="9"/>
  <c r="K91" i="9"/>
  <c r="K90" i="9" s="1"/>
  <c r="K75" i="9"/>
  <c r="K67" i="9"/>
  <c r="B67" i="9" s="1"/>
  <c r="K53" i="9"/>
  <c r="K31" i="9"/>
  <c r="K24" i="9"/>
  <c r="K13" i="9"/>
  <c r="K12" i="9" s="1"/>
  <c r="K11" i="9" s="1"/>
  <c r="G13" i="3"/>
  <c r="G15" i="3"/>
  <c r="G16" i="3"/>
  <c r="H24" i="9"/>
  <c r="S67" i="9"/>
  <c r="R67" i="9"/>
  <c r="Q67" i="9"/>
  <c r="P67" i="9"/>
  <c r="O67" i="9"/>
  <c r="N67" i="9"/>
  <c r="M67" i="9"/>
  <c r="H67" i="9"/>
  <c r="I67" i="9"/>
  <c r="I24" i="9" s="1"/>
  <c r="J67" i="9"/>
  <c r="G239" i="9"/>
  <c r="B239" i="9"/>
  <c r="G238" i="9"/>
  <c r="B238" i="9"/>
  <c r="G237" i="9"/>
  <c r="B237" i="9"/>
  <c r="G236" i="9"/>
  <c r="B236" i="9"/>
  <c r="G235" i="9"/>
  <c r="B235" i="9"/>
  <c r="G234" i="9"/>
  <c r="B234" i="9"/>
  <c r="G233" i="9"/>
  <c r="G232" i="9" s="1"/>
  <c r="B233" i="9"/>
  <c r="S232" i="9"/>
  <c r="R232" i="9"/>
  <c r="Q232" i="9"/>
  <c r="P232" i="9"/>
  <c r="O232" i="9"/>
  <c r="N232" i="9"/>
  <c r="N223" i="9" s="1"/>
  <c r="M232" i="9"/>
  <c r="J232" i="9"/>
  <c r="I232" i="9"/>
  <c r="H232" i="9"/>
  <c r="F232" i="9"/>
  <c r="E232" i="9"/>
  <c r="G231" i="9"/>
  <c r="B231" i="9"/>
  <c r="G230" i="9"/>
  <c r="B230" i="9"/>
  <c r="G229" i="9"/>
  <c r="B229" i="9"/>
  <c r="G228" i="9"/>
  <c r="B228" i="9"/>
  <c r="G227" i="9"/>
  <c r="B227" i="9"/>
  <c r="G226" i="9"/>
  <c r="B226" i="9"/>
  <c r="G225" i="9"/>
  <c r="B225" i="9"/>
  <c r="S224" i="9"/>
  <c r="R224" i="9"/>
  <c r="Q224" i="9"/>
  <c r="P224" i="9"/>
  <c r="O224" i="9"/>
  <c r="O223" i="9" s="1"/>
  <c r="N224" i="9"/>
  <c r="M224" i="9"/>
  <c r="J224" i="9"/>
  <c r="J223" i="9" s="1"/>
  <c r="I224" i="9"/>
  <c r="H224" i="9"/>
  <c r="H223" i="9" s="1"/>
  <c r="F224" i="9"/>
  <c r="E224" i="9"/>
  <c r="G222" i="9"/>
  <c r="B222" i="9"/>
  <c r="G221" i="9"/>
  <c r="B221" i="9"/>
  <c r="G220" i="9"/>
  <c r="B220" i="9"/>
  <c r="G219" i="9"/>
  <c r="B219" i="9"/>
  <c r="G218" i="9"/>
  <c r="B218" i="9"/>
  <c r="G217" i="9"/>
  <c r="B217" i="9"/>
  <c r="G216" i="9"/>
  <c r="B216" i="9"/>
  <c r="G215" i="9"/>
  <c r="B215" i="9"/>
  <c r="S214" i="9"/>
  <c r="S206" i="9"/>
  <c r="R214" i="9"/>
  <c r="Q214" i="9"/>
  <c r="P214" i="9"/>
  <c r="O214" i="9"/>
  <c r="O205" i="9" s="1"/>
  <c r="O206" i="9"/>
  <c r="N214" i="9"/>
  <c r="M214" i="9"/>
  <c r="J214" i="9"/>
  <c r="J205" i="9" s="1"/>
  <c r="I214" i="9"/>
  <c r="H214" i="9"/>
  <c r="H206" i="9"/>
  <c r="F214" i="9"/>
  <c r="E214" i="9"/>
  <c r="G213" i="9"/>
  <c r="B213" i="9"/>
  <c r="G212" i="9"/>
  <c r="B212" i="9"/>
  <c r="G211" i="9"/>
  <c r="B211" i="9"/>
  <c r="G210" i="9"/>
  <c r="B210" i="9"/>
  <c r="G209" i="9"/>
  <c r="B209" i="9"/>
  <c r="G208" i="9"/>
  <c r="G207" i="9"/>
  <c r="B208" i="9"/>
  <c r="B207" i="9"/>
  <c r="R206" i="9"/>
  <c r="R205" i="9" s="1"/>
  <c r="Q206" i="9"/>
  <c r="P206" i="9"/>
  <c r="N206" i="9"/>
  <c r="M206" i="9"/>
  <c r="J206" i="9"/>
  <c r="I206" i="9"/>
  <c r="F206" i="9"/>
  <c r="E206" i="9"/>
  <c r="G204" i="9"/>
  <c r="B204" i="9"/>
  <c r="G203" i="9"/>
  <c r="B203" i="9"/>
  <c r="G202" i="9"/>
  <c r="B202" i="9"/>
  <c r="S201" i="9"/>
  <c r="S198" i="9" s="1"/>
  <c r="R201" i="9"/>
  <c r="R198" i="9" s="1"/>
  <c r="Q201" i="9"/>
  <c r="Q198" i="9" s="1"/>
  <c r="P201" i="9"/>
  <c r="P198" i="9" s="1"/>
  <c r="O201" i="9"/>
  <c r="O198" i="9" s="1"/>
  <c r="N201" i="9"/>
  <c r="M201" i="9"/>
  <c r="M198" i="9" s="1"/>
  <c r="J201" i="9"/>
  <c r="J198" i="9" s="1"/>
  <c r="I201" i="9"/>
  <c r="I198" i="9" s="1"/>
  <c r="H201" i="9"/>
  <c r="H198" i="9" s="1"/>
  <c r="F201" i="9"/>
  <c r="F198" i="9" s="1"/>
  <c r="E201" i="9"/>
  <c r="E198" i="9" s="1"/>
  <c r="G200" i="9"/>
  <c r="B200" i="9"/>
  <c r="G199" i="9"/>
  <c r="B199" i="9"/>
  <c r="G197" i="9"/>
  <c r="B197" i="9"/>
  <c r="G196" i="9"/>
  <c r="B196" i="9"/>
  <c r="G195" i="9"/>
  <c r="B195" i="9"/>
  <c r="G194" i="9"/>
  <c r="B194" i="9"/>
  <c r="G193" i="9"/>
  <c r="G192" i="9"/>
  <c r="G190" i="9" s="1"/>
  <c r="B193" i="9"/>
  <c r="S192" i="9"/>
  <c r="S190" i="9" s="1"/>
  <c r="R192" i="9"/>
  <c r="R190" i="9" s="1"/>
  <c r="Q192" i="9"/>
  <c r="Q190" i="9" s="1"/>
  <c r="P192" i="9"/>
  <c r="P190" i="9" s="1"/>
  <c r="O192" i="9"/>
  <c r="O190" i="9" s="1"/>
  <c r="N192" i="9"/>
  <c r="M192" i="9"/>
  <c r="J192" i="9"/>
  <c r="J190" i="9" s="1"/>
  <c r="I192" i="9"/>
  <c r="H192" i="9"/>
  <c r="H190" i="9"/>
  <c r="F192" i="9"/>
  <c r="F190" i="9" s="1"/>
  <c r="E192" i="9"/>
  <c r="E190" i="9" s="1"/>
  <c r="G191" i="9"/>
  <c r="B191" i="9"/>
  <c r="N190" i="9"/>
  <c r="M190" i="9"/>
  <c r="G189" i="9"/>
  <c r="B189" i="9"/>
  <c r="G188" i="9"/>
  <c r="B188" i="9"/>
  <c r="S187" i="9"/>
  <c r="S185" i="9" s="1"/>
  <c r="R187" i="9"/>
  <c r="R185" i="9" s="1"/>
  <c r="Q187" i="9"/>
  <c r="Q185" i="9"/>
  <c r="P187" i="9"/>
  <c r="P185" i="9" s="1"/>
  <c r="O187" i="9"/>
  <c r="O185" i="9" s="1"/>
  <c r="N187" i="9"/>
  <c r="N185" i="9" s="1"/>
  <c r="M187" i="9"/>
  <c r="M185" i="9" s="1"/>
  <c r="J187" i="9"/>
  <c r="J185" i="9" s="1"/>
  <c r="I187" i="9"/>
  <c r="H187" i="9"/>
  <c r="F187" i="9"/>
  <c r="F185" i="9" s="1"/>
  <c r="E187" i="9"/>
  <c r="E185" i="9" s="1"/>
  <c r="G186" i="9"/>
  <c r="B186" i="9"/>
  <c r="G184" i="9"/>
  <c r="B184" i="9"/>
  <c r="G183" i="9"/>
  <c r="B183" i="9"/>
  <c r="G182" i="9"/>
  <c r="B182" i="9"/>
  <c r="G181" i="9"/>
  <c r="B181" i="9"/>
  <c r="G180" i="9"/>
  <c r="B180" i="9"/>
  <c r="G179" i="9"/>
  <c r="B179" i="9"/>
  <c r="G178" i="9"/>
  <c r="B178" i="9"/>
  <c r="G177" i="9"/>
  <c r="B177" i="9"/>
  <c r="G176" i="9"/>
  <c r="B176" i="9"/>
  <c r="G175" i="9"/>
  <c r="B175" i="9"/>
  <c r="G174" i="9"/>
  <c r="B174" i="9"/>
  <c r="G173" i="9"/>
  <c r="B173" i="9"/>
  <c r="G172" i="9"/>
  <c r="B172" i="9"/>
  <c r="G171" i="9"/>
  <c r="B171" i="9"/>
  <c r="G170" i="9"/>
  <c r="B170" i="9"/>
  <c r="G169" i="9"/>
  <c r="B169" i="9"/>
  <c r="G168" i="9"/>
  <c r="B168" i="9"/>
  <c r="G167" i="9"/>
  <c r="B167" i="9"/>
  <c r="G166" i="9"/>
  <c r="G165" i="9"/>
  <c r="B166" i="9"/>
  <c r="B165" i="9"/>
  <c r="S164" i="9"/>
  <c r="R164" i="9"/>
  <c r="Q164" i="9"/>
  <c r="P164" i="9"/>
  <c r="O164" i="9"/>
  <c r="N164" i="9"/>
  <c r="M164" i="9"/>
  <c r="H164" i="9"/>
  <c r="I164" i="9"/>
  <c r="J164" i="9"/>
  <c r="F164" i="9"/>
  <c r="E164" i="9"/>
  <c r="G163" i="9"/>
  <c r="B163" i="9"/>
  <c r="G162" i="9"/>
  <c r="B162" i="9"/>
  <c r="G161" i="9"/>
  <c r="B161" i="9"/>
  <c r="G160" i="9"/>
  <c r="B160" i="9"/>
  <c r="G159" i="9"/>
  <c r="B159" i="9"/>
  <c r="G158" i="9"/>
  <c r="B158" i="9"/>
  <c r="S157" i="9"/>
  <c r="R157" i="9"/>
  <c r="R156" i="9" s="1"/>
  <c r="Q157" i="9"/>
  <c r="P157" i="9"/>
  <c r="P156" i="9" s="1"/>
  <c r="O157" i="9"/>
  <c r="O156" i="9" s="1"/>
  <c r="N157" i="9"/>
  <c r="M157" i="9"/>
  <c r="M156" i="9" s="1"/>
  <c r="H157" i="9"/>
  <c r="I157" i="9"/>
  <c r="J157" i="9"/>
  <c r="J156" i="9" s="1"/>
  <c r="F157" i="9"/>
  <c r="F156" i="9" s="1"/>
  <c r="E157" i="9"/>
  <c r="S144" i="9"/>
  <c r="G155" i="9"/>
  <c r="B155" i="9"/>
  <c r="G154" i="9"/>
  <c r="B154" i="9"/>
  <c r="G153" i="9"/>
  <c r="B153" i="9"/>
  <c r="G152" i="9"/>
  <c r="B152" i="9"/>
  <c r="G151" i="9"/>
  <c r="B151" i="9"/>
  <c r="G150" i="9"/>
  <c r="B150" i="9"/>
  <c r="G149" i="9"/>
  <c r="B149" i="9"/>
  <c r="G148" i="9"/>
  <c r="B148" i="9"/>
  <c r="G147" i="9"/>
  <c r="B147" i="9"/>
  <c r="G146" i="9"/>
  <c r="B146" i="9"/>
  <c r="G145" i="9"/>
  <c r="B145" i="9"/>
  <c r="R144" i="9"/>
  <c r="Q144" i="9"/>
  <c r="P144" i="9"/>
  <c r="O144" i="9"/>
  <c r="N144" i="9"/>
  <c r="M144" i="9"/>
  <c r="J144" i="9"/>
  <c r="I144" i="9"/>
  <c r="H144" i="9"/>
  <c r="F144" i="9"/>
  <c r="E144" i="9"/>
  <c r="G141" i="9"/>
  <c r="B141" i="9"/>
  <c r="G140" i="9"/>
  <c r="B140" i="9"/>
  <c r="G139" i="9"/>
  <c r="B139" i="9"/>
  <c r="G138" i="9"/>
  <c r="B138" i="9"/>
  <c r="G137" i="9"/>
  <c r="B137" i="9"/>
  <c r="G136" i="9"/>
  <c r="B136" i="9"/>
  <c r="G135" i="9"/>
  <c r="B135" i="9"/>
  <c r="G134" i="9"/>
  <c r="B134" i="9"/>
  <c r="G133" i="9"/>
  <c r="B133" i="9"/>
  <c r="G132" i="9"/>
  <c r="B132" i="9"/>
  <c r="G131" i="9"/>
  <c r="B131" i="9"/>
  <c r="G130" i="9"/>
  <c r="B130" i="9"/>
  <c r="G129" i="9"/>
  <c r="B129" i="9"/>
  <c r="G128" i="9"/>
  <c r="B128" i="9"/>
  <c r="G127" i="9"/>
  <c r="B127" i="9"/>
  <c r="G126" i="9"/>
  <c r="B126" i="9"/>
  <c r="G125" i="9"/>
  <c r="B125" i="9"/>
  <c r="G124" i="9"/>
  <c r="B124" i="9"/>
  <c r="G123" i="9"/>
  <c r="B123" i="9"/>
  <c r="S122" i="9"/>
  <c r="S121" i="9" s="1"/>
  <c r="R122" i="9"/>
  <c r="R121" i="9" s="1"/>
  <c r="R119" i="9" s="1"/>
  <c r="Q122" i="9"/>
  <c r="Q121" i="9" s="1"/>
  <c r="Q119" i="9" s="1"/>
  <c r="P122" i="9"/>
  <c r="P121" i="9" s="1"/>
  <c r="P119" i="9" s="1"/>
  <c r="O122" i="9"/>
  <c r="O121" i="9" s="1"/>
  <c r="O119" i="9" s="1"/>
  <c r="N122" i="9"/>
  <c r="N121" i="9" s="1"/>
  <c r="M122" i="9"/>
  <c r="M121" i="9" s="1"/>
  <c r="M119" i="9" s="1"/>
  <c r="J122" i="9"/>
  <c r="J121" i="9" s="1"/>
  <c r="J119" i="9" s="1"/>
  <c r="I122" i="9"/>
  <c r="I121" i="9" s="1"/>
  <c r="I119" i="9" s="1"/>
  <c r="H122" i="9"/>
  <c r="H121" i="9" s="1"/>
  <c r="H119" i="9" s="1"/>
  <c r="F122" i="9"/>
  <c r="F119" i="9" s="1"/>
  <c r="G120" i="9"/>
  <c r="B120" i="9"/>
  <c r="S119" i="9"/>
  <c r="G118" i="9"/>
  <c r="B118" i="9"/>
  <c r="G117" i="9"/>
  <c r="B117" i="9"/>
  <c r="S116" i="9"/>
  <c r="R116" i="9"/>
  <c r="Q116" i="9"/>
  <c r="P116" i="9"/>
  <c r="O116" i="9"/>
  <c r="N116" i="9"/>
  <c r="M116" i="9"/>
  <c r="H116" i="9"/>
  <c r="I116" i="9"/>
  <c r="J116" i="9"/>
  <c r="J110" i="9"/>
  <c r="J113" i="9"/>
  <c r="F116" i="9"/>
  <c r="F109" i="9" s="1"/>
  <c r="F110" i="9"/>
  <c r="F113" i="9"/>
  <c r="E116" i="9"/>
  <c r="E110" i="9"/>
  <c r="E113" i="9"/>
  <c r="G115" i="9"/>
  <c r="B115" i="9"/>
  <c r="G114" i="9"/>
  <c r="G113" i="9" s="1"/>
  <c r="B114" i="9"/>
  <c r="S113" i="9"/>
  <c r="R113" i="9"/>
  <c r="Q113" i="9"/>
  <c r="P113" i="9"/>
  <c r="O113" i="9"/>
  <c r="N113" i="9"/>
  <c r="N110" i="9"/>
  <c r="N109" i="9" s="1"/>
  <c r="M113" i="9"/>
  <c r="I113" i="9"/>
  <c r="H113" i="9"/>
  <c r="G112" i="9"/>
  <c r="B112" i="9"/>
  <c r="G111" i="9"/>
  <c r="B111" i="9"/>
  <c r="S110" i="9"/>
  <c r="R110" i="9"/>
  <c r="Q110" i="9"/>
  <c r="P110" i="9"/>
  <c r="O110" i="9"/>
  <c r="M110" i="9"/>
  <c r="I110" i="9"/>
  <c r="H110" i="9"/>
  <c r="S109" i="9"/>
  <c r="G108" i="9"/>
  <c r="B108" i="9"/>
  <c r="G107" i="9"/>
  <c r="G106" i="9" s="1"/>
  <c r="B107" i="9"/>
  <c r="S106" i="9"/>
  <c r="R106" i="9"/>
  <c r="Q106" i="9"/>
  <c r="P106" i="9"/>
  <c r="O106" i="9"/>
  <c r="N106" i="9"/>
  <c r="M106" i="9"/>
  <c r="H106" i="9"/>
  <c r="B106" i="9" s="1"/>
  <c r="I106" i="9"/>
  <c r="J106" i="9"/>
  <c r="F106" i="9"/>
  <c r="E106" i="9"/>
  <c r="G105" i="9"/>
  <c r="B105" i="9"/>
  <c r="G104" i="9"/>
  <c r="B104" i="9"/>
  <c r="S103" i="9"/>
  <c r="R103" i="9"/>
  <c r="R100" i="9"/>
  <c r="Q103" i="9"/>
  <c r="P103" i="9"/>
  <c r="O103" i="9"/>
  <c r="N103" i="9"/>
  <c r="N100" i="9"/>
  <c r="M103" i="9"/>
  <c r="H103" i="9"/>
  <c r="I103" i="9"/>
  <c r="J103" i="9"/>
  <c r="J100" i="9"/>
  <c r="H100" i="9"/>
  <c r="F103" i="9"/>
  <c r="E103" i="9"/>
  <c r="E99" i="9" s="1"/>
  <c r="E100" i="9"/>
  <c r="G102" i="9"/>
  <c r="B102" i="9"/>
  <c r="G101" i="9"/>
  <c r="B101" i="9"/>
  <c r="S100" i="9"/>
  <c r="Q100" i="9"/>
  <c r="P100" i="9"/>
  <c r="P99" i="9" s="1"/>
  <c r="O100" i="9"/>
  <c r="M100" i="9"/>
  <c r="I100" i="9"/>
  <c r="I99" i="9"/>
  <c r="F100" i="9"/>
  <c r="F91" i="9"/>
  <c r="F90" i="9" s="1"/>
  <c r="G98" i="9"/>
  <c r="B98" i="9"/>
  <c r="G97" i="9"/>
  <c r="B97" i="9"/>
  <c r="G96" i="9"/>
  <c r="B96" i="9"/>
  <c r="G95" i="9"/>
  <c r="B95" i="9"/>
  <c r="G94" i="9"/>
  <c r="B94" i="9"/>
  <c r="G93" i="9"/>
  <c r="B93" i="9"/>
  <c r="G92" i="9"/>
  <c r="B92" i="9"/>
  <c r="S91" i="9"/>
  <c r="S90" i="9" s="1"/>
  <c r="R91" i="9"/>
  <c r="R90" i="9" s="1"/>
  <c r="Q91" i="9"/>
  <c r="Q90" i="9" s="1"/>
  <c r="P91" i="9"/>
  <c r="O91" i="9"/>
  <c r="O90" i="9" s="1"/>
  <c r="N91" i="9"/>
  <c r="M91" i="9"/>
  <c r="M90" i="9" s="1"/>
  <c r="J91" i="9"/>
  <c r="J90" i="9"/>
  <c r="I91" i="9"/>
  <c r="I90" i="9" s="1"/>
  <c r="H91" i="9"/>
  <c r="H90" i="9" s="1"/>
  <c r="N90" i="9"/>
  <c r="E91" i="9"/>
  <c r="E90" i="9" s="1"/>
  <c r="P90" i="9"/>
  <c r="G89" i="9"/>
  <c r="B89" i="9"/>
  <c r="G88" i="9"/>
  <c r="B88" i="9"/>
  <c r="G87" i="9"/>
  <c r="B87" i="9"/>
  <c r="G86" i="9"/>
  <c r="B86" i="9"/>
  <c r="G85" i="9"/>
  <c r="B85" i="9"/>
  <c r="G84" i="9"/>
  <c r="B84" i="9"/>
  <c r="G83" i="9"/>
  <c r="B83" i="9"/>
  <c r="G82" i="9"/>
  <c r="B82" i="9"/>
  <c r="G81" i="9"/>
  <c r="B81" i="9"/>
  <c r="G80" i="9"/>
  <c r="B80" i="9"/>
  <c r="G79" i="9"/>
  <c r="B79" i="9"/>
  <c r="G78" i="9"/>
  <c r="B78" i="9"/>
  <c r="G77" i="9"/>
  <c r="B77" i="9"/>
  <c r="G76" i="9"/>
  <c r="B76" i="9"/>
  <c r="S75" i="9"/>
  <c r="R75" i="9"/>
  <c r="Q75" i="9"/>
  <c r="P75" i="9"/>
  <c r="O75" i="9"/>
  <c r="N75" i="9"/>
  <c r="M75" i="9"/>
  <c r="J75" i="9"/>
  <c r="I75" i="9"/>
  <c r="H75" i="9"/>
  <c r="F75" i="9"/>
  <c r="E75" i="9"/>
  <c r="G74" i="9"/>
  <c r="B74" i="9"/>
  <c r="G73" i="9"/>
  <c r="B73" i="9"/>
  <c r="G72" i="9"/>
  <c r="B72" i="9"/>
  <c r="G71" i="9"/>
  <c r="B71" i="9"/>
  <c r="G70" i="9"/>
  <c r="B70" i="9"/>
  <c r="G69" i="9"/>
  <c r="B69" i="9"/>
  <c r="G68" i="9"/>
  <c r="B68" i="9"/>
  <c r="G66" i="9"/>
  <c r="B66" i="9"/>
  <c r="G65" i="9"/>
  <c r="B65" i="9"/>
  <c r="G64" i="9"/>
  <c r="B64" i="9"/>
  <c r="G63" i="9"/>
  <c r="B63" i="9"/>
  <c r="G62" i="9"/>
  <c r="B62" i="9"/>
  <c r="G61" i="9"/>
  <c r="B61" i="9"/>
  <c r="G60" i="9"/>
  <c r="B60" i="9"/>
  <c r="G59" i="9"/>
  <c r="B59" i="9"/>
  <c r="G58" i="9"/>
  <c r="B58" i="9"/>
  <c r="G57" i="9"/>
  <c r="B57" i="9"/>
  <c r="G56" i="9"/>
  <c r="B56" i="9"/>
  <c r="G55" i="9"/>
  <c r="B55" i="9"/>
  <c r="G54" i="9"/>
  <c r="B54" i="9"/>
  <c r="S53" i="9"/>
  <c r="R53" i="9"/>
  <c r="Q53" i="9"/>
  <c r="P53" i="9"/>
  <c r="O53" i="9"/>
  <c r="N53" i="9"/>
  <c r="M53" i="9"/>
  <c r="J53" i="9"/>
  <c r="I53" i="9"/>
  <c r="H53" i="9"/>
  <c r="F53" i="9"/>
  <c r="E53" i="9"/>
  <c r="G52" i="9"/>
  <c r="B52" i="9"/>
  <c r="G51" i="9"/>
  <c r="B51" i="9"/>
  <c r="G50" i="9"/>
  <c r="B50" i="9"/>
  <c r="G49" i="9"/>
  <c r="B49" i="9"/>
  <c r="G48" i="9"/>
  <c r="B48" i="9"/>
  <c r="G47" i="9"/>
  <c r="B47" i="9"/>
  <c r="G46" i="9"/>
  <c r="B46" i="9"/>
  <c r="G45" i="9"/>
  <c r="B45" i="9"/>
  <c r="G44" i="9"/>
  <c r="B44" i="9"/>
  <c r="P31" i="9"/>
  <c r="O31" i="9"/>
  <c r="F43" i="9"/>
  <c r="E43" i="9"/>
  <c r="G42" i="9"/>
  <c r="B42" i="9"/>
  <c r="G41" i="9"/>
  <c r="B41" i="9"/>
  <c r="G40" i="9"/>
  <c r="B40" i="9"/>
  <c r="G39" i="9"/>
  <c r="B39" i="9"/>
  <c r="G38" i="9"/>
  <c r="B38" i="9"/>
  <c r="G37" i="9"/>
  <c r="B37" i="9"/>
  <c r="G36" i="9"/>
  <c r="B36" i="9"/>
  <c r="G35" i="9"/>
  <c r="B35" i="9"/>
  <c r="G34" i="9"/>
  <c r="B34" i="9"/>
  <c r="G33" i="9"/>
  <c r="B33" i="9"/>
  <c r="G32" i="9"/>
  <c r="B32" i="9"/>
  <c r="S31" i="9"/>
  <c r="R31" i="9"/>
  <c r="Q31" i="9"/>
  <c r="Q27" i="9" s="1"/>
  <c r="N31" i="9"/>
  <c r="N24" i="9"/>
  <c r="M31" i="9"/>
  <c r="J31" i="9"/>
  <c r="J24" i="9"/>
  <c r="I31" i="9"/>
  <c r="H31" i="9"/>
  <c r="F31" i="9"/>
  <c r="E31" i="9"/>
  <c r="G30" i="9"/>
  <c r="B30" i="9"/>
  <c r="G29" i="9"/>
  <c r="B29" i="9"/>
  <c r="G28" i="9"/>
  <c r="B28" i="9"/>
  <c r="G26" i="9"/>
  <c r="G25" i="9"/>
  <c r="B26" i="9"/>
  <c r="B25" i="9"/>
  <c r="S24" i="9"/>
  <c r="R24" i="9"/>
  <c r="P24" i="9"/>
  <c r="O24" i="9"/>
  <c r="M24" i="9"/>
  <c r="F24" i="9"/>
  <c r="E24" i="9"/>
  <c r="B23" i="9"/>
  <c r="G21" i="9"/>
  <c r="B21" i="9"/>
  <c r="G20" i="9"/>
  <c r="B20" i="9"/>
  <c r="G19" i="9"/>
  <c r="B19" i="9"/>
  <c r="G18" i="9"/>
  <c r="B18" i="9"/>
  <c r="G17" i="9"/>
  <c r="B17" i="9"/>
  <c r="G16" i="9"/>
  <c r="B16" i="9"/>
  <c r="G15" i="9"/>
  <c r="B15" i="9"/>
  <c r="G14" i="9"/>
  <c r="B14" i="9"/>
  <c r="S13" i="9"/>
  <c r="S12" i="9" s="1"/>
  <c r="S11" i="9" s="1"/>
  <c r="R13" i="9"/>
  <c r="R12" i="9" s="1"/>
  <c r="R11" i="9" s="1"/>
  <c r="Q13" i="9"/>
  <c r="Q12" i="9" s="1"/>
  <c r="Q11" i="9" s="1"/>
  <c r="P13" i="9"/>
  <c r="P12" i="9" s="1"/>
  <c r="P11" i="9" s="1"/>
  <c r="O13" i="9"/>
  <c r="O12" i="9"/>
  <c r="O11" i="9" s="1"/>
  <c r="N13" i="9"/>
  <c r="N12" i="9" s="1"/>
  <c r="N11" i="9" s="1"/>
  <c r="N198" i="9"/>
  <c r="M13" i="9"/>
  <c r="M12" i="9"/>
  <c r="M11" i="9" s="1"/>
  <c r="J13" i="9"/>
  <c r="J12" i="9" s="1"/>
  <c r="J11" i="9" s="1"/>
  <c r="I13" i="9"/>
  <c r="I12" i="9" s="1"/>
  <c r="I11" i="9" s="1"/>
  <c r="H13" i="9"/>
  <c r="H12" i="9" s="1"/>
  <c r="H11" i="9" s="1"/>
  <c r="F13" i="9"/>
  <c r="E13" i="9"/>
  <c r="E12" i="9"/>
  <c r="F12" i="9"/>
  <c r="B9" i="9"/>
  <c r="B8" i="9"/>
  <c r="I185" i="9"/>
  <c r="B224" i="9"/>
  <c r="I223" i="9"/>
  <c r="E64" i="3"/>
  <c r="C16" i="2" s="1"/>
  <c r="E53" i="3"/>
  <c r="C15" i="2"/>
  <c r="E42" i="3"/>
  <c r="C14" i="2" s="1"/>
  <c r="E31" i="3"/>
  <c r="C13" i="2" s="1"/>
  <c r="E20" i="3"/>
  <c r="C12" i="2" s="1"/>
  <c r="E9" i="3"/>
  <c r="C11" i="2"/>
  <c r="D9" i="3"/>
  <c r="B11" i="2" s="1"/>
  <c r="D24" i="4"/>
  <c r="G24" i="4"/>
  <c r="H24" i="4"/>
  <c r="D31" i="4"/>
  <c r="E31" i="4"/>
  <c r="E43" i="4"/>
  <c r="E53" i="4"/>
  <c r="E75" i="4"/>
  <c r="F31" i="4"/>
  <c r="G31" i="4"/>
  <c r="H31" i="4"/>
  <c r="D43" i="4"/>
  <c r="F43" i="4"/>
  <c r="F53" i="4"/>
  <c r="F75" i="4"/>
  <c r="G43" i="4"/>
  <c r="H43" i="4"/>
  <c r="D53" i="4"/>
  <c r="G53" i="4"/>
  <c r="H53" i="4"/>
  <c r="D75" i="4"/>
  <c r="G75" i="4"/>
  <c r="H75" i="4"/>
  <c r="D91" i="4"/>
  <c r="D90" i="4"/>
  <c r="B22" i="2" s="1"/>
  <c r="E91" i="4"/>
  <c r="E90" i="4" s="1"/>
  <c r="F91" i="4"/>
  <c r="F90" i="4"/>
  <c r="G91" i="4"/>
  <c r="G90" i="4" s="1"/>
  <c r="E22" i="2" s="1"/>
  <c r="H91" i="4"/>
  <c r="H90" i="4" s="1"/>
  <c r="D100" i="4"/>
  <c r="E100" i="4"/>
  <c r="F100" i="4"/>
  <c r="G100" i="4"/>
  <c r="G103" i="4"/>
  <c r="G106" i="4"/>
  <c r="H100" i="4"/>
  <c r="D103" i="4"/>
  <c r="E103" i="4"/>
  <c r="F103" i="4"/>
  <c r="F106" i="4"/>
  <c r="F99" i="4" s="1"/>
  <c r="H103" i="4"/>
  <c r="D106" i="4"/>
  <c r="E106" i="4"/>
  <c r="H106" i="4"/>
  <c r="D110" i="4"/>
  <c r="D113" i="4"/>
  <c r="D116" i="4"/>
  <c r="E110" i="4"/>
  <c r="F110" i="4"/>
  <c r="G110" i="4"/>
  <c r="H110" i="4"/>
  <c r="H113" i="4"/>
  <c r="H116" i="4"/>
  <c r="E113" i="4"/>
  <c r="E109" i="4" s="1"/>
  <c r="F113" i="4"/>
  <c r="G113" i="4"/>
  <c r="G116" i="4"/>
  <c r="E116" i="4"/>
  <c r="F116" i="4"/>
  <c r="F109" i="4" s="1"/>
  <c r="D119" i="4"/>
  <c r="B26" i="2" s="1"/>
  <c r="E119" i="4"/>
  <c r="F119" i="4"/>
  <c r="G119" i="4"/>
  <c r="H119" i="4"/>
  <c r="G122" i="4"/>
  <c r="H122" i="4"/>
  <c r="D144" i="4"/>
  <c r="E144" i="4"/>
  <c r="F144" i="4"/>
  <c r="F157" i="4"/>
  <c r="F156" i="4" s="1"/>
  <c r="F143" i="4" s="1"/>
  <c r="F164" i="4"/>
  <c r="F187" i="4"/>
  <c r="F185" i="4"/>
  <c r="F192" i="4"/>
  <c r="F190" i="4" s="1"/>
  <c r="F201" i="4"/>
  <c r="F198" i="4" s="1"/>
  <c r="G144" i="4"/>
  <c r="H144" i="4"/>
  <c r="H157" i="4"/>
  <c r="H156" i="4" s="1"/>
  <c r="H164" i="4"/>
  <c r="H187" i="4"/>
  <c r="H185" i="4" s="1"/>
  <c r="H143" i="4" s="1"/>
  <c r="H192" i="4"/>
  <c r="H190" i="4" s="1"/>
  <c r="H201" i="4"/>
  <c r="H198" i="4" s="1"/>
  <c r="D157" i="4"/>
  <c r="D164" i="4"/>
  <c r="D156" i="4" s="1"/>
  <c r="D143" i="4" s="1"/>
  <c r="D142" i="4" s="1"/>
  <c r="B27" i="2" s="1"/>
  <c r="D187" i="4"/>
  <c r="D185" i="4"/>
  <c r="D192" i="4"/>
  <c r="D190" i="4" s="1"/>
  <c r="D201" i="4"/>
  <c r="D198" i="4"/>
  <c r="E157" i="4"/>
  <c r="G157" i="4"/>
  <c r="E164" i="4"/>
  <c r="E187" i="4"/>
  <c r="E185" i="4"/>
  <c r="G164" i="4"/>
  <c r="G187" i="4"/>
  <c r="G185" i="4" s="1"/>
  <c r="E192" i="4"/>
  <c r="E190" i="4" s="1"/>
  <c r="G192" i="4"/>
  <c r="G190" i="4"/>
  <c r="E201" i="4"/>
  <c r="E198" i="4" s="1"/>
  <c r="G201" i="4"/>
  <c r="G198" i="4" s="1"/>
  <c r="D206" i="4"/>
  <c r="D205" i="4" s="1"/>
  <c r="B28" i="2" s="1"/>
  <c r="D214" i="4"/>
  <c r="E206" i="4"/>
  <c r="E205" i="4" s="1"/>
  <c r="E214" i="4"/>
  <c r="F206" i="4"/>
  <c r="F205" i="4" s="1"/>
  <c r="G206" i="4"/>
  <c r="H206" i="4"/>
  <c r="H214" i="4"/>
  <c r="H205" i="4"/>
  <c r="F214" i="4"/>
  <c r="G214" i="4"/>
  <c r="D224" i="4"/>
  <c r="E224" i="4"/>
  <c r="E223" i="4" s="1"/>
  <c r="E232" i="4"/>
  <c r="F224" i="4"/>
  <c r="G224" i="4"/>
  <c r="G232" i="4"/>
  <c r="H224" i="4"/>
  <c r="H232" i="4"/>
  <c r="D232" i="4"/>
  <c r="F232" i="4"/>
  <c r="F223" i="4" s="1"/>
  <c r="J13" i="4"/>
  <c r="D12" i="4"/>
  <c r="D11" i="4" s="1"/>
  <c r="B20" i="2" s="1"/>
  <c r="I13" i="4"/>
  <c r="I12" i="4"/>
  <c r="I11" i="4" s="1"/>
  <c r="G156" i="4"/>
  <c r="I31" i="4"/>
  <c r="U23" i="2"/>
  <c r="P23" i="2"/>
  <c r="K23" i="2"/>
  <c r="D64" i="3"/>
  <c r="B16" i="2" s="1"/>
  <c r="D53" i="3"/>
  <c r="B15" i="2" s="1"/>
  <c r="D42" i="3"/>
  <c r="B14" i="2"/>
  <c r="S65" i="3"/>
  <c r="S66" i="3"/>
  <c r="S67" i="3"/>
  <c r="S68" i="3"/>
  <c r="S69" i="3"/>
  <c r="S70" i="3"/>
  <c r="S71" i="3"/>
  <c r="S72" i="3"/>
  <c r="S73" i="3"/>
  <c r="S74" i="3"/>
  <c r="G65" i="3"/>
  <c r="K65" i="3"/>
  <c r="O65" i="3"/>
  <c r="G66" i="3"/>
  <c r="F66" i="3" s="1"/>
  <c r="G67" i="3"/>
  <c r="G68" i="3"/>
  <c r="F68" i="3" s="1"/>
  <c r="G69" i="3"/>
  <c r="G70" i="3"/>
  <c r="G71" i="3"/>
  <c r="G72" i="3"/>
  <c r="F72" i="3" s="1"/>
  <c r="G73" i="3"/>
  <c r="G74" i="3"/>
  <c r="K66" i="3"/>
  <c r="K67" i="3"/>
  <c r="F67" i="3" s="1"/>
  <c r="O67" i="3"/>
  <c r="K68" i="3"/>
  <c r="K69" i="3"/>
  <c r="K70" i="3"/>
  <c r="K71" i="3"/>
  <c r="K72" i="3"/>
  <c r="K73" i="3"/>
  <c r="K74" i="3"/>
  <c r="O66" i="3"/>
  <c r="O68" i="3"/>
  <c r="O69" i="3"/>
  <c r="O70" i="3"/>
  <c r="O71" i="3"/>
  <c r="O72" i="3"/>
  <c r="O73" i="3"/>
  <c r="O74" i="3"/>
  <c r="L15" i="2"/>
  <c r="G43" i="3"/>
  <c r="D31" i="3"/>
  <c r="B13" i="2"/>
  <c r="D20" i="3"/>
  <c r="S10" i="3"/>
  <c r="S11" i="3"/>
  <c r="S12" i="3"/>
  <c r="F12" i="3" s="1"/>
  <c r="S13" i="3"/>
  <c r="S14" i="3"/>
  <c r="S15" i="3"/>
  <c r="S16" i="3"/>
  <c r="F16" i="3" s="1"/>
  <c r="S17" i="3"/>
  <c r="S18" i="3"/>
  <c r="S19" i="3"/>
  <c r="S21" i="3"/>
  <c r="F21" i="3" s="1"/>
  <c r="S22" i="3"/>
  <c r="S23" i="3"/>
  <c r="S24" i="3"/>
  <c r="S25" i="3"/>
  <c r="S26" i="3"/>
  <c r="S27" i="3"/>
  <c r="S28" i="3"/>
  <c r="S29" i="3"/>
  <c r="S30" i="3"/>
  <c r="S32" i="3"/>
  <c r="S33" i="3"/>
  <c r="S34" i="3"/>
  <c r="F34" i="3" s="1"/>
  <c r="S35" i="3"/>
  <c r="S36" i="3"/>
  <c r="S37" i="3"/>
  <c r="S38" i="3"/>
  <c r="S39" i="3"/>
  <c r="S40" i="3"/>
  <c r="S41" i="3"/>
  <c r="S43" i="3"/>
  <c r="S44" i="3"/>
  <c r="S45" i="3"/>
  <c r="S46" i="3"/>
  <c r="S47" i="3"/>
  <c r="S48" i="3"/>
  <c r="S49" i="3"/>
  <c r="S50" i="3"/>
  <c r="S51" i="3"/>
  <c r="F51" i="3" s="1"/>
  <c r="S52" i="3"/>
  <c r="S54" i="3"/>
  <c r="S55" i="3"/>
  <c r="S56" i="3"/>
  <c r="S57" i="3"/>
  <c r="S58" i="3"/>
  <c r="S59" i="3"/>
  <c r="S60" i="3"/>
  <c r="F60" i="3" s="1"/>
  <c r="S61" i="3"/>
  <c r="S62" i="3"/>
  <c r="S63" i="3"/>
  <c r="O10" i="3"/>
  <c r="O11" i="3"/>
  <c r="O12" i="3"/>
  <c r="O13" i="3"/>
  <c r="O14" i="3"/>
  <c r="F14" i="3" s="1"/>
  <c r="O15" i="3"/>
  <c r="O16" i="3"/>
  <c r="O17" i="3"/>
  <c r="O18" i="3"/>
  <c r="F18" i="3" s="1"/>
  <c r="O19" i="3"/>
  <c r="O21" i="3"/>
  <c r="O22" i="3"/>
  <c r="O23" i="3"/>
  <c r="O24" i="3"/>
  <c r="O25" i="3"/>
  <c r="O26" i="3"/>
  <c r="O27" i="3"/>
  <c r="O28" i="3"/>
  <c r="O29" i="3"/>
  <c r="O30" i="3"/>
  <c r="O32" i="3"/>
  <c r="O33" i="3"/>
  <c r="O34" i="3"/>
  <c r="O35" i="3"/>
  <c r="O36" i="3"/>
  <c r="F36" i="3" s="1"/>
  <c r="O37" i="3"/>
  <c r="O38" i="3"/>
  <c r="O39" i="3"/>
  <c r="O40" i="3"/>
  <c r="O41" i="3"/>
  <c r="O43" i="3"/>
  <c r="O44" i="3"/>
  <c r="O45" i="3"/>
  <c r="O46" i="3"/>
  <c r="O47" i="3"/>
  <c r="F47" i="3" s="1"/>
  <c r="O48" i="3"/>
  <c r="O49" i="3"/>
  <c r="O50" i="3"/>
  <c r="O51" i="3"/>
  <c r="O52" i="3"/>
  <c r="O54" i="3"/>
  <c r="F54" i="3" s="1"/>
  <c r="O55" i="3"/>
  <c r="O56" i="3"/>
  <c r="O57" i="3"/>
  <c r="O58" i="3"/>
  <c r="O59" i="3"/>
  <c r="O60" i="3"/>
  <c r="O61" i="3"/>
  <c r="O62" i="3"/>
  <c r="F62" i="3" s="1"/>
  <c r="O63" i="3"/>
  <c r="K10" i="3"/>
  <c r="K12" i="3"/>
  <c r="K13" i="3"/>
  <c r="K14" i="3"/>
  <c r="K15" i="3"/>
  <c r="K16" i="3"/>
  <c r="K17" i="3"/>
  <c r="K18" i="3"/>
  <c r="G18" i="3"/>
  <c r="K19" i="3"/>
  <c r="G19" i="3"/>
  <c r="K21" i="3"/>
  <c r="K22" i="3"/>
  <c r="F22" i="3" s="1"/>
  <c r="G22" i="3"/>
  <c r="K23" i="3"/>
  <c r="G23" i="3"/>
  <c r="K24" i="3"/>
  <c r="G24" i="3"/>
  <c r="K25" i="3"/>
  <c r="K26" i="3"/>
  <c r="K27" i="3"/>
  <c r="K28" i="3"/>
  <c r="K29" i="3"/>
  <c r="K30" i="3"/>
  <c r="G30" i="3"/>
  <c r="F30" i="3" s="1"/>
  <c r="K32" i="3"/>
  <c r="G32" i="3"/>
  <c r="K33" i="3"/>
  <c r="K34" i="3"/>
  <c r="K35" i="3"/>
  <c r="G35" i="3"/>
  <c r="K36" i="3"/>
  <c r="K37" i="3"/>
  <c r="F37" i="3" s="1"/>
  <c r="K38" i="3"/>
  <c r="K39" i="3"/>
  <c r="K40" i="3"/>
  <c r="K41" i="3"/>
  <c r="G41" i="3"/>
  <c r="K43" i="3"/>
  <c r="K44" i="3"/>
  <c r="K45" i="3"/>
  <c r="K46" i="3"/>
  <c r="G46" i="3"/>
  <c r="K47" i="3"/>
  <c r="K48" i="3"/>
  <c r="K49" i="3"/>
  <c r="G49" i="3"/>
  <c r="K50" i="3"/>
  <c r="G50" i="3"/>
  <c r="K51" i="3"/>
  <c r="K52" i="3"/>
  <c r="K54" i="3"/>
  <c r="G54" i="3"/>
  <c r="K55" i="3"/>
  <c r="G55" i="3"/>
  <c r="K56" i="3"/>
  <c r="K57" i="3"/>
  <c r="G57" i="3"/>
  <c r="K58" i="3"/>
  <c r="G58" i="3"/>
  <c r="K59" i="3"/>
  <c r="K60" i="3"/>
  <c r="K61" i="3"/>
  <c r="K62" i="3"/>
  <c r="G62" i="3"/>
  <c r="K63" i="3"/>
  <c r="G63" i="3"/>
  <c r="G10" i="3"/>
  <c r="G12" i="3"/>
  <c r="G14" i="3"/>
  <c r="G17" i="3"/>
  <c r="G21" i="3"/>
  <c r="G25" i="3"/>
  <c r="G26" i="3"/>
  <c r="F26" i="3" s="1"/>
  <c r="G27" i="3"/>
  <c r="G28" i="3"/>
  <c r="G29" i="3"/>
  <c r="F29" i="3" s="1"/>
  <c r="G33" i="3"/>
  <c r="G34" i="3"/>
  <c r="G36" i="3"/>
  <c r="G37" i="3"/>
  <c r="G38" i="3"/>
  <c r="G39" i="3"/>
  <c r="G40" i="3"/>
  <c r="G44" i="3"/>
  <c r="G45" i="3"/>
  <c r="G47" i="3"/>
  <c r="G48" i="3"/>
  <c r="F48" i="3" s="1"/>
  <c r="G51" i="3"/>
  <c r="G52" i="3"/>
  <c r="G56" i="3"/>
  <c r="G59" i="3"/>
  <c r="G60" i="3"/>
  <c r="G61" i="3"/>
  <c r="F61" i="3" s="1"/>
  <c r="H64" i="3"/>
  <c r="G16" i="2"/>
  <c r="H53" i="3"/>
  <c r="G15" i="2"/>
  <c r="F15" i="2" s="1"/>
  <c r="H42" i="3"/>
  <c r="G14" i="2"/>
  <c r="F14" i="2" s="1"/>
  <c r="I31" i="3"/>
  <c r="H13" i="2"/>
  <c r="J31" i="3"/>
  <c r="I13" i="2"/>
  <c r="H31" i="3"/>
  <c r="G13" i="2"/>
  <c r="I20" i="3"/>
  <c r="H12" i="2" s="1"/>
  <c r="J20" i="3"/>
  <c r="I12" i="2" s="1"/>
  <c r="H20" i="3"/>
  <c r="G12" i="2" s="1"/>
  <c r="I9" i="3"/>
  <c r="H11" i="2" s="1"/>
  <c r="J9" i="3"/>
  <c r="I11" i="2" s="1"/>
  <c r="H9" i="3"/>
  <c r="H8" i="3" s="1"/>
  <c r="G10" i="2" s="1"/>
  <c r="F23" i="2"/>
  <c r="C23" i="2"/>
  <c r="B12" i="2"/>
  <c r="G20" i="3"/>
  <c r="F71" i="3"/>
  <c r="F45" i="3"/>
  <c r="G31" i="3"/>
  <c r="P13" i="4"/>
  <c r="P12" i="4" s="1"/>
  <c r="P11" i="4" s="1"/>
  <c r="P24" i="4"/>
  <c r="P31" i="4"/>
  <c r="P43" i="4"/>
  <c r="P53" i="4"/>
  <c r="P75" i="4"/>
  <c r="P91" i="4"/>
  <c r="P90" i="4" s="1"/>
  <c r="N22" i="2" s="1"/>
  <c r="P100" i="4"/>
  <c r="P103" i="4"/>
  <c r="P106" i="4"/>
  <c r="P110" i="4"/>
  <c r="P113" i="4"/>
  <c r="P116" i="4"/>
  <c r="P119" i="4"/>
  <c r="N26" i="2" s="1"/>
  <c r="P122" i="4"/>
  <c r="P144" i="4"/>
  <c r="P157" i="4"/>
  <c r="P164" i="4"/>
  <c r="P187" i="4"/>
  <c r="P185" i="4"/>
  <c r="P192" i="4"/>
  <c r="P190" i="4" s="1"/>
  <c r="P201" i="4"/>
  <c r="P198" i="4" s="1"/>
  <c r="P206" i="4"/>
  <c r="P214" i="4"/>
  <c r="P224" i="4"/>
  <c r="P223" i="4" s="1"/>
  <c r="N29" i="2" s="1"/>
  <c r="P232" i="4"/>
  <c r="I24" i="4"/>
  <c r="I43" i="4"/>
  <c r="I53" i="4"/>
  <c r="I75" i="4"/>
  <c r="I91" i="4"/>
  <c r="I90" i="4" s="1"/>
  <c r="G22" i="2" s="1"/>
  <c r="F22" i="2" s="1"/>
  <c r="I100" i="4"/>
  <c r="I103" i="4"/>
  <c r="I106" i="4"/>
  <c r="I110" i="4"/>
  <c r="I113" i="4"/>
  <c r="I116" i="4"/>
  <c r="I119" i="4"/>
  <c r="G26" i="2"/>
  <c r="I122" i="4"/>
  <c r="I144" i="4"/>
  <c r="I143" i="4" s="1"/>
  <c r="I157" i="4"/>
  <c r="I164" i="4"/>
  <c r="I187" i="4"/>
  <c r="I192" i="4"/>
  <c r="I190" i="4" s="1"/>
  <c r="I201" i="4"/>
  <c r="I206" i="4"/>
  <c r="I205" i="4" s="1"/>
  <c r="G28" i="2" s="1"/>
  <c r="I214" i="4"/>
  <c r="I224" i="4"/>
  <c r="I232" i="4"/>
  <c r="K13" i="4"/>
  <c r="K24" i="4"/>
  <c r="K31" i="4"/>
  <c r="K27" i="4" s="1"/>
  <c r="K43" i="4"/>
  <c r="K53" i="4"/>
  <c r="K75" i="4"/>
  <c r="K91" i="4"/>
  <c r="K90" i="4" s="1"/>
  <c r="I22" i="2" s="1"/>
  <c r="K100" i="4"/>
  <c r="K103" i="4"/>
  <c r="K106" i="4"/>
  <c r="K110" i="4"/>
  <c r="K113" i="4"/>
  <c r="K116" i="4"/>
  <c r="K119" i="4"/>
  <c r="I26" i="2"/>
  <c r="K122" i="4"/>
  <c r="K144" i="4"/>
  <c r="K157" i="4"/>
  <c r="K164" i="4"/>
  <c r="K187" i="4"/>
  <c r="K185" i="4"/>
  <c r="K192" i="4"/>
  <c r="K190" i="4"/>
  <c r="K201" i="4"/>
  <c r="K198" i="4"/>
  <c r="K206" i="4"/>
  <c r="K214" i="4"/>
  <c r="K205" i="4" s="1"/>
  <c r="I28" i="2" s="1"/>
  <c r="K224" i="4"/>
  <c r="K232" i="4"/>
  <c r="Z232" i="4"/>
  <c r="Y232" i="4"/>
  <c r="W232" i="4" s="1"/>
  <c r="X232" i="4"/>
  <c r="V232" i="4"/>
  <c r="U232" i="4"/>
  <c r="T232" i="4"/>
  <c r="S232" i="4"/>
  <c r="Q232" i="4"/>
  <c r="O232" i="4"/>
  <c r="N232" i="4"/>
  <c r="L232" i="4"/>
  <c r="J232" i="4"/>
  <c r="Z224" i="4"/>
  <c r="Y224" i="4"/>
  <c r="W224" i="4" s="1"/>
  <c r="X224" i="4"/>
  <c r="X223" i="4" s="1"/>
  <c r="V224" i="4"/>
  <c r="V223" i="4" s="1"/>
  <c r="T29" i="2" s="1"/>
  <c r="U224" i="4"/>
  <c r="T224" i="4"/>
  <c r="T223" i="4" s="1"/>
  <c r="S224" i="4"/>
  <c r="Q224" i="4"/>
  <c r="Q223" i="4" s="1"/>
  <c r="O224" i="4"/>
  <c r="N224" i="4"/>
  <c r="M224" i="4" s="1"/>
  <c r="L224" i="4"/>
  <c r="L223" i="4" s="1"/>
  <c r="J224" i="4"/>
  <c r="Z214" i="4"/>
  <c r="Y214" i="4"/>
  <c r="X214" i="4"/>
  <c r="V214" i="4"/>
  <c r="U214" i="4"/>
  <c r="T214" i="4"/>
  <c r="R214" i="4" s="1"/>
  <c r="S214" i="4"/>
  <c r="Q214" i="4"/>
  <c r="O214" i="4"/>
  <c r="N214" i="4"/>
  <c r="M214" i="4" s="1"/>
  <c r="L214" i="4"/>
  <c r="J214" i="4"/>
  <c r="Z206" i="4"/>
  <c r="Y206" i="4"/>
  <c r="Y205" i="4" s="1"/>
  <c r="X206" i="4"/>
  <c r="V206" i="4"/>
  <c r="V205" i="4" s="1"/>
  <c r="T28" i="2" s="1"/>
  <c r="U206" i="4"/>
  <c r="T206" i="4"/>
  <c r="T205" i="4" s="1"/>
  <c r="R28" i="2" s="1"/>
  <c r="S206" i="4"/>
  <c r="S205" i="4" s="1"/>
  <c r="Q206" i="4"/>
  <c r="O206" i="4"/>
  <c r="N206" i="4"/>
  <c r="N205" i="4" s="1"/>
  <c r="L206" i="4"/>
  <c r="L205" i="4" s="1"/>
  <c r="J206" i="4"/>
  <c r="J205" i="4" s="1"/>
  <c r="H28" i="2" s="1"/>
  <c r="Z201" i="4"/>
  <c r="Z198" i="4"/>
  <c r="Y201" i="4"/>
  <c r="Y198" i="4"/>
  <c r="X201" i="4"/>
  <c r="V201" i="4"/>
  <c r="V198" i="4" s="1"/>
  <c r="U201" i="4"/>
  <c r="U198" i="4" s="1"/>
  <c r="T201" i="4"/>
  <c r="T198" i="4"/>
  <c r="R198" i="4" s="1"/>
  <c r="S201" i="4"/>
  <c r="S198" i="4" s="1"/>
  <c r="Q201" i="4"/>
  <c r="Q198" i="4" s="1"/>
  <c r="O201" i="4"/>
  <c r="O198" i="4" s="1"/>
  <c r="N201" i="4"/>
  <c r="N198" i="4" s="1"/>
  <c r="L201" i="4"/>
  <c r="L198" i="4"/>
  <c r="J201" i="4"/>
  <c r="J198" i="4" s="1"/>
  <c r="Z192" i="4"/>
  <c r="Z190" i="4" s="1"/>
  <c r="Y192" i="4"/>
  <c r="Y190" i="4" s="1"/>
  <c r="X192" i="4"/>
  <c r="V192" i="4"/>
  <c r="V190" i="4" s="1"/>
  <c r="U192" i="4"/>
  <c r="U190" i="4"/>
  <c r="T192" i="4"/>
  <c r="T190" i="4" s="1"/>
  <c r="S192" i="4"/>
  <c r="R192" i="4" s="1"/>
  <c r="Q192" i="4"/>
  <c r="Q190" i="4"/>
  <c r="O192" i="4"/>
  <c r="O190" i="4" s="1"/>
  <c r="N192" i="4"/>
  <c r="N190" i="4" s="1"/>
  <c r="M190" i="4" s="1"/>
  <c r="L192" i="4"/>
  <c r="L190" i="4"/>
  <c r="J192" i="4"/>
  <c r="J190" i="4"/>
  <c r="Z187" i="4"/>
  <c r="Z185" i="4"/>
  <c r="Y187" i="4"/>
  <c r="Y185" i="4" s="1"/>
  <c r="X187" i="4"/>
  <c r="X185" i="4" s="1"/>
  <c r="V187" i="4"/>
  <c r="V185" i="4" s="1"/>
  <c r="U187" i="4"/>
  <c r="U185" i="4" s="1"/>
  <c r="T187" i="4"/>
  <c r="T185" i="4" s="1"/>
  <c r="S187" i="4"/>
  <c r="Q187" i="4"/>
  <c r="Q185" i="4" s="1"/>
  <c r="O187" i="4"/>
  <c r="O185" i="4" s="1"/>
  <c r="N187" i="4"/>
  <c r="N185" i="4" s="1"/>
  <c r="M185" i="4" s="1"/>
  <c r="L187" i="4"/>
  <c r="L185" i="4" s="1"/>
  <c r="J187" i="4"/>
  <c r="J185" i="4" s="1"/>
  <c r="Z164" i="4"/>
  <c r="Y164" i="4"/>
  <c r="X164" i="4"/>
  <c r="V164" i="4"/>
  <c r="U164" i="4"/>
  <c r="T164" i="4"/>
  <c r="S164" i="4"/>
  <c r="R164" i="4" s="1"/>
  <c r="Q164" i="4"/>
  <c r="O164" i="4"/>
  <c r="N164" i="4"/>
  <c r="L164" i="4"/>
  <c r="J164" i="4"/>
  <c r="Z157" i="4"/>
  <c r="Y157" i="4"/>
  <c r="X157" i="4"/>
  <c r="X156" i="4" s="1"/>
  <c r="X143" i="4" s="1"/>
  <c r="X142" i="4" s="1"/>
  <c r="V157" i="4"/>
  <c r="U157" i="4"/>
  <c r="T157" i="4"/>
  <c r="S157" i="4"/>
  <c r="S156" i="4" s="1"/>
  <c r="S143" i="4" s="1"/>
  <c r="Q157" i="4"/>
  <c r="O157" i="4"/>
  <c r="M157" i="4" s="1"/>
  <c r="N157" i="4"/>
  <c r="L157" i="4"/>
  <c r="L156" i="4" s="1"/>
  <c r="J157" i="4"/>
  <c r="Z144" i="4"/>
  <c r="Y144" i="4"/>
  <c r="X144" i="4"/>
  <c r="W144" i="4" s="1"/>
  <c r="V144" i="4"/>
  <c r="U144" i="4"/>
  <c r="T144" i="4"/>
  <c r="S144" i="4"/>
  <c r="Q144" i="4"/>
  <c r="O144" i="4"/>
  <c r="M144" i="4" s="1"/>
  <c r="N144" i="4"/>
  <c r="L144" i="4"/>
  <c r="J144" i="4"/>
  <c r="Z122" i="4"/>
  <c r="Y122" i="4"/>
  <c r="W26" i="2" s="1"/>
  <c r="X122" i="4"/>
  <c r="V122" i="4"/>
  <c r="U122" i="4"/>
  <c r="T122" i="4"/>
  <c r="S122" i="4"/>
  <c r="R122" i="4" s="1"/>
  <c r="Q122" i="4"/>
  <c r="O122" i="4"/>
  <c r="N122" i="4"/>
  <c r="M122" i="4" s="1"/>
  <c r="L122" i="4"/>
  <c r="J122" i="4"/>
  <c r="Z119" i="4"/>
  <c r="X26" i="2" s="1"/>
  <c r="X119" i="4"/>
  <c r="V26" i="2" s="1"/>
  <c r="Y119" i="4"/>
  <c r="V119" i="4"/>
  <c r="T26" i="2" s="1"/>
  <c r="U119" i="4"/>
  <c r="S26" i="2" s="1"/>
  <c r="T119" i="4"/>
  <c r="R26" i="2"/>
  <c r="P26" i="2" s="1"/>
  <c r="S119" i="4"/>
  <c r="Q26" i="2" s="1"/>
  <c r="Q119" i="4"/>
  <c r="O26" i="2" s="1"/>
  <c r="O119" i="4"/>
  <c r="M26" i="2" s="1"/>
  <c r="N119" i="4"/>
  <c r="L26" i="2"/>
  <c r="L119" i="4"/>
  <c r="J26" i="2" s="1"/>
  <c r="J119" i="4"/>
  <c r="H26" i="2" s="1"/>
  <c r="Z116" i="4"/>
  <c r="Y116" i="4"/>
  <c r="X116" i="4"/>
  <c r="V116" i="4"/>
  <c r="U116" i="4"/>
  <c r="T116" i="4"/>
  <c r="S116" i="4"/>
  <c r="Q116" i="4"/>
  <c r="O116" i="4"/>
  <c r="N116" i="4"/>
  <c r="L116" i="4"/>
  <c r="J116" i="4"/>
  <c r="Z113" i="4"/>
  <c r="Y113" i="4"/>
  <c r="X113" i="4"/>
  <c r="V113" i="4"/>
  <c r="U113" i="4"/>
  <c r="T113" i="4"/>
  <c r="S113" i="4"/>
  <c r="Q113" i="4"/>
  <c r="O113" i="4"/>
  <c r="N113" i="4"/>
  <c r="L113" i="4"/>
  <c r="J113" i="4"/>
  <c r="Z110" i="4"/>
  <c r="Y110" i="4"/>
  <c r="X110" i="4"/>
  <c r="X109" i="4" s="1"/>
  <c r="V25" i="2" s="1"/>
  <c r="V110" i="4"/>
  <c r="V109" i="4" s="1"/>
  <c r="T25" i="2" s="1"/>
  <c r="U110" i="4"/>
  <c r="T110" i="4"/>
  <c r="T109" i="4" s="1"/>
  <c r="R25" i="2" s="1"/>
  <c r="S110" i="4"/>
  <c r="Q110" i="4"/>
  <c r="O110" i="4"/>
  <c r="N110" i="4"/>
  <c r="M110" i="4" s="1"/>
  <c r="L110" i="4"/>
  <c r="L109" i="4" s="1"/>
  <c r="J25" i="2" s="1"/>
  <c r="J110" i="4"/>
  <c r="J109" i="4" s="1"/>
  <c r="H25" i="2" s="1"/>
  <c r="Z106" i="4"/>
  <c r="Y106" i="4"/>
  <c r="X106" i="4"/>
  <c r="V106" i="4"/>
  <c r="U106" i="4"/>
  <c r="T106" i="4"/>
  <c r="R106" i="4" s="1"/>
  <c r="S106" i="4"/>
  <c r="Q106" i="4"/>
  <c r="O106" i="4"/>
  <c r="N106" i="4"/>
  <c r="M106" i="4" s="1"/>
  <c r="L106" i="4"/>
  <c r="J106" i="4"/>
  <c r="Z103" i="4"/>
  <c r="X103" i="4"/>
  <c r="Y103" i="4"/>
  <c r="V103" i="4"/>
  <c r="U103" i="4"/>
  <c r="T103" i="4"/>
  <c r="R103" i="4" s="1"/>
  <c r="S103" i="4"/>
  <c r="Q103" i="4"/>
  <c r="O103" i="4"/>
  <c r="N103" i="4"/>
  <c r="M103" i="4" s="1"/>
  <c r="L103" i="4"/>
  <c r="J103" i="4"/>
  <c r="Z100" i="4"/>
  <c r="Y100" i="4"/>
  <c r="X100" i="4"/>
  <c r="V100" i="4"/>
  <c r="V99" i="4" s="1"/>
  <c r="T24" i="2" s="1"/>
  <c r="U100" i="4"/>
  <c r="S100" i="4"/>
  <c r="T100" i="4"/>
  <c r="Q100" i="4"/>
  <c r="O100" i="4"/>
  <c r="N100" i="4"/>
  <c r="N99" i="4" s="1"/>
  <c r="L100" i="4"/>
  <c r="J100" i="4"/>
  <c r="J99" i="4" s="1"/>
  <c r="H24" i="2" s="1"/>
  <c r="Z91" i="4"/>
  <c r="Z90" i="4"/>
  <c r="X22" i="2" s="1"/>
  <c r="Y91" i="4"/>
  <c r="Y90" i="4"/>
  <c r="W22" i="2" s="1"/>
  <c r="X91" i="4"/>
  <c r="X90" i="4" s="1"/>
  <c r="V91" i="4"/>
  <c r="V90" i="4"/>
  <c r="T22" i="2" s="1"/>
  <c r="U91" i="4"/>
  <c r="U90" i="4" s="1"/>
  <c r="S22" i="2" s="1"/>
  <c r="T91" i="4"/>
  <c r="T90" i="4" s="1"/>
  <c r="R22" i="2" s="1"/>
  <c r="S91" i="4"/>
  <c r="S90" i="4" s="1"/>
  <c r="Q91" i="4"/>
  <c r="Q90" i="4" s="1"/>
  <c r="O22" i="2" s="1"/>
  <c r="O91" i="4"/>
  <c r="O90" i="4" s="1"/>
  <c r="M22" i="2" s="1"/>
  <c r="N91" i="4"/>
  <c r="L91" i="4"/>
  <c r="L90" i="4" s="1"/>
  <c r="J22" i="2" s="1"/>
  <c r="J91" i="4"/>
  <c r="J90" i="4" s="1"/>
  <c r="H22" i="2" s="1"/>
  <c r="Z75" i="4"/>
  <c r="Y75" i="4"/>
  <c r="X75" i="4"/>
  <c r="V75" i="4"/>
  <c r="U75" i="4"/>
  <c r="T75" i="4"/>
  <c r="S75" i="4"/>
  <c r="Q75" i="4"/>
  <c r="O75" i="4"/>
  <c r="M75" i="4" s="1"/>
  <c r="N75" i="4"/>
  <c r="L75" i="4"/>
  <c r="J75" i="4"/>
  <c r="Z53" i="4"/>
  <c r="Y53" i="4"/>
  <c r="X53" i="4"/>
  <c r="V53" i="4"/>
  <c r="U53" i="4"/>
  <c r="T53" i="4"/>
  <c r="S53" i="4"/>
  <c r="R53" i="4" s="1"/>
  <c r="Q53" i="4"/>
  <c r="O53" i="4"/>
  <c r="M53" i="4" s="1"/>
  <c r="N53" i="4"/>
  <c r="L53" i="4"/>
  <c r="L27" i="4" s="1"/>
  <c r="J53" i="4"/>
  <c r="Z43" i="4"/>
  <c r="Y43" i="4"/>
  <c r="X43" i="4"/>
  <c r="W43" i="4" s="1"/>
  <c r="V43" i="4"/>
  <c r="U43" i="4"/>
  <c r="T43" i="4"/>
  <c r="S43" i="4"/>
  <c r="R43" i="4" s="1"/>
  <c r="Q43" i="4"/>
  <c r="O43" i="4"/>
  <c r="N43" i="4"/>
  <c r="M43" i="4" s="1"/>
  <c r="L43" i="4"/>
  <c r="J43" i="4"/>
  <c r="Z31" i="4"/>
  <c r="Y31" i="4"/>
  <c r="Y27" i="4" s="1"/>
  <c r="Y22" i="4" s="1"/>
  <c r="X31" i="4"/>
  <c r="V31" i="4"/>
  <c r="V27" i="4" s="1"/>
  <c r="V22" i="4" s="1"/>
  <c r="T21" i="2" s="1"/>
  <c r="U31" i="4"/>
  <c r="T31" i="4"/>
  <c r="T27" i="4" s="1"/>
  <c r="S31" i="4"/>
  <c r="Q31" i="4"/>
  <c r="O31" i="4"/>
  <c r="N31" i="4"/>
  <c r="M31" i="4" s="1"/>
  <c r="L31" i="4"/>
  <c r="J31" i="4"/>
  <c r="J27" i="4" s="1"/>
  <c r="Z24" i="4"/>
  <c r="Y24" i="4"/>
  <c r="X24" i="4"/>
  <c r="V24" i="4"/>
  <c r="U24" i="4"/>
  <c r="T24" i="4"/>
  <c r="R24" i="4" s="1"/>
  <c r="S24" i="4"/>
  <c r="Q24" i="4"/>
  <c r="O24" i="4"/>
  <c r="N24" i="4"/>
  <c r="L24" i="4"/>
  <c r="J24" i="4"/>
  <c r="Z13" i="4"/>
  <c r="Y13" i="4"/>
  <c r="Y12" i="4" s="1"/>
  <c r="Y11" i="4" s="1"/>
  <c r="X13" i="4"/>
  <c r="V13" i="4"/>
  <c r="V12" i="4" s="1"/>
  <c r="V11" i="4" s="1"/>
  <c r="U13" i="4"/>
  <c r="U12" i="4" s="1"/>
  <c r="U11" i="4" s="1"/>
  <c r="S20" i="2" s="1"/>
  <c r="T13" i="4"/>
  <c r="T12" i="4" s="1"/>
  <c r="T11" i="4" s="1"/>
  <c r="R20" i="2" s="1"/>
  <c r="S13" i="4"/>
  <c r="Q13" i="4"/>
  <c r="Q12" i="4" s="1"/>
  <c r="Q11" i="4" s="1"/>
  <c r="O20" i="2" s="1"/>
  <c r="O13" i="4"/>
  <c r="O12" i="4" s="1"/>
  <c r="O11" i="4" s="1"/>
  <c r="N13" i="4"/>
  <c r="L13" i="4"/>
  <c r="L12" i="4" s="1"/>
  <c r="L11" i="4" s="1"/>
  <c r="J20" i="2" s="1"/>
  <c r="J12" i="4"/>
  <c r="J11" i="4" s="1"/>
  <c r="H20" i="2" s="1"/>
  <c r="I27" i="4"/>
  <c r="G13" i="4"/>
  <c r="G12" i="4" s="1"/>
  <c r="V64" i="3"/>
  <c r="X16" i="2"/>
  <c r="T64" i="3"/>
  <c r="U64" i="3"/>
  <c r="W16" i="2" s="1"/>
  <c r="R64" i="3"/>
  <c r="S16" i="2" s="1"/>
  <c r="Q64" i="3"/>
  <c r="R16" i="2" s="1"/>
  <c r="P64" i="3"/>
  <c r="N64" i="3"/>
  <c r="J64" i="3"/>
  <c r="I64" i="3"/>
  <c r="I16" i="2"/>
  <c r="V53" i="3"/>
  <c r="X15" i="2" s="1"/>
  <c r="U53" i="3"/>
  <c r="W15" i="2" s="1"/>
  <c r="T53" i="3"/>
  <c r="V15" i="2"/>
  <c r="R53" i="3"/>
  <c r="S15" i="2"/>
  <c r="Q53" i="3"/>
  <c r="P53" i="3"/>
  <c r="Q15" i="2" s="1"/>
  <c r="N53" i="3"/>
  <c r="N15" i="2" s="1"/>
  <c r="J53" i="3"/>
  <c r="I15" i="2" s="1"/>
  <c r="I53" i="3"/>
  <c r="H15" i="2"/>
  <c r="V42" i="3"/>
  <c r="X14" i="2" s="1"/>
  <c r="U42" i="3"/>
  <c r="W14" i="2"/>
  <c r="T42" i="3"/>
  <c r="V14" i="2" s="1"/>
  <c r="R42" i="3"/>
  <c r="S14" i="2" s="1"/>
  <c r="Q42" i="3"/>
  <c r="R14" i="2" s="1"/>
  <c r="P42" i="3"/>
  <c r="N42" i="3"/>
  <c r="N14" i="2" s="1"/>
  <c r="L14" i="2"/>
  <c r="J42" i="3"/>
  <c r="I42" i="3"/>
  <c r="H14" i="2" s="1"/>
  <c r="V31" i="3"/>
  <c r="X13" i="2" s="1"/>
  <c r="U31" i="3"/>
  <c r="W13" i="2"/>
  <c r="T31" i="3"/>
  <c r="V13" i="2"/>
  <c r="R31" i="3"/>
  <c r="S13" i="2" s="1"/>
  <c r="Q31" i="3"/>
  <c r="O31" i="3" s="1"/>
  <c r="P31" i="3"/>
  <c r="Q13" i="2" s="1"/>
  <c r="N31" i="3"/>
  <c r="M13" i="2"/>
  <c r="L13" i="2"/>
  <c r="V20" i="3"/>
  <c r="X12" i="2" s="1"/>
  <c r="U20" i="3"/>
  <c r="W12" i="2" s="1"/>
  <c r="T20" i="3"/>
  <c r="V12" i="2" s="1"/>
  <c r="R20" i="3"/>
  <c r="S12" i="2" s="1"/>
  <c r="Q20" i="3"/>
  <c r="R12" i="2"/>
  <c r="P20" i="3"/>
  <c r="N20" i="3"/>
  <c r="N12" i="2" s="1"/>
  <c r="M12" i="2"/>
  <c r="L12" i="2"/>
  <c r="V9" i="3"/>
  <c r="U9" i="3"/>
  <c r="W11" i="2" s="1"/>
  <c r="T9" i="3"/>
  <c r="V11" i="2" s="1"/>
  <c r="R9" i="3"/>
  <c r="Q9" i="3"/>
  <c r="R11" i="2" s="1"/>
  <c r="P9" i="3"/>
  <c r="N9" i="3"/>
  <c r="N11" i="2"/>
  <c r="M11" i="2"/>
  <c r="J8" i="3"/>
  <c r="I10" i="2" s="1"/>
  <c r="I9" i="2" s="1"/>
  <c r="M164" i="4"/>
  <c r="L16" i="2"/>
  <c r="Q16" i="2"/>
  <c r="E26" i="2"/>
  <c r="W214" i="4"/>
  <c r="X12" i="4"/>
  <c r="X11" i="4" s="1"/>
  <c r="S185" i="4"/>
  <c r="R187" i="4"/>
  <c r="X198" i="4"/>
  <c r="W198" i="4" s="1"/>
  <c r="W201" i="4"/>
  <c r="I198" i="4"/>
  <c r="N90" i="4"/>
  <c r="M116" i="4"/>
  <c r="M187" i="4"/>
  <c r="W100" i="4"/>
  <c r="W113" i="4"/>
  <c r="W119" i="4"/>
  <c r="X190" i="4"/>
  <c r="R206" i="4"/>
  <c r="I185" i="4"/>
  <c r="M232" i="4"/>
  <c r="M100" i="4"/>
  <c r="M113" i="4"/>
  <c r="S12" i="4"/>
  <c r="N12" i="4"/>
  <c r="N11" i="4" s="1"/>
  <c r="O20" i="3"/>
  <c r="I8" i="3"/>
  <c r="I7" i="3" s="1"/>
  <c r="Q156" i="4"/>
  <c r="P156" i="4"/>
  <c r="I156" i="4"/>
  <c r="I99" i="4"/>
  <c r="G24" i="2" s="1"/>
  <c r="K99" i="4"/>
  <c r="I24" i="2" s="1"/>
  <c r="K156" i="4"/>
  <c r="O156" i="4"/>
  <c r="V156" i="4"/>
  <c r="Y156" i="4"/>
  <c r="Y143" i="4" s="1"/>
  <c r="Y142" i="4" s="1"/>
  <c r="W27" i="2" s="1"/>
  <c r="U99" i="4"/>
  <c r="S24" i="2"/>
  <c r="N156" i="4"/>
  <c r="T156" i="4"/>
  <c r="T143" i="4" s="1"/>
  <c r="T142" i="4" s="1"/>
  <c r="R27" i="2" s="1"/>
  <c r="U205" i="4"/>
  <c r="S28" i="2" s="1"/>
  <c r="U27" i="4"/>
  <c r="U22" i="4" s="1"/>
  <c r="S21" i="2" s="1"/>
  <c r="U109" i="4"/>
  <c r="U10" i="4"/>
  <c r="S19" i="2" s="1"/>
  <c r="O27" i="4"/>
  <c r="X27" i="4"/>
  <c r="X22" i="4" s="1"/>
  <c r="Z27" i="4"/>
  <c r="O223" i="4"/>
  <c r="M29" i="2" s="1"/>
  <c r="O29" i="2"/>
  <c r="R29" i="2"/>
  <c r="V29" i="2"/>
  <c r="Z223" i="4"/>
  <c r="X29" i="2" s="1"/>
  <c r="J28" i="2"/>
  <c r="O205" i="4"/>
  <c r="M28" i="2" s="1"/>
  <c r="W28" i="2"/>
  <c r="Q205" i="4"/>
  <c r="O28" i="2" s="1"/>
  <c r="Z205" i="4"/>
  <c r="X28" i="2" s="1"/>
  <c r="U223" i="4"/>
  <c r="S29" i="2"/>
  <c r="J156" i="4"/>
  <c r="J143" i="4" s="1"/>
  <c r="J142" i="4" s="1"/>
  <c r="H27" i="2" s="1"/>
  <c r="T99" i="4"/>
  <c r="R24" i="2" s="1"/>
  <c r="O99" i="4"/>
  <c r="M24" i="2" s="1"/>
  <c r="Q99" i="4"/>
  <c r="O24" i="2" s="1"/>
  <c r="Z99" i="4"/>
  <c r="X24" i="2" s="1"/>
  <c r="U156" i="4"/>
  <c r="J22" i="4"/>
  <c r="H21" i="2" s="1"/>
  <c r="S25" i="2"/>
  <c r="J223" i="4"/>
  <c r="H29" i="2" s="1"/>
  <c r="S109" i="4"/>
  <c r="Q25" i="2"/>
  <c r="Y109" i="4"/>
  <c r="J29" i="2"/>
  <c r="S223" i="4"/>
  <c r="R223" i="4"/>
  <c r="Q109" i="4"/>
  <c r="O25" i="2" s="1"/>
  <c r="Z109" i="4"/>
  <c r="X25" i="2"/>
  <c r="O109" i="4"/>
  <c r="M25" i="2" s="1"/>
  <c r="M10" i="2"/>
  <c r="M9" i="2" s="1"/>
  <c r="L22" i="2"/>
  <c r="L22" i="4"/>
  <c r="J21" i="2" s="1"/>
  <c r="S11" i="4"/>
  <c r="Q20" i="2" s="1"/>
  <c r="B38" i="2"/>
  <c r="F38" i="2"/>
  <c r="H38" i="2"/>
  <c r="E38" i="2"/>
  <c r="G38" i="2"/>
  <c r="I38" i="2"/>
  <c r="K38" i="2"/>
  <c r="M38" i="2"/>
  <c r="J38" i="2"/>
  <c r="O38" i="2"/>
  <c r="L38" i="2"/>
  <c r="Q38" i="2"/>
  <c r="N38" i="2"/>
  <c r="S38" i="2"/>
  <c r="P38" i="2"/>
  <c r="R38" i="2"/>
  <c r="U38" i="2"/>
  <c r="W38" i="2"/>
  <c r="T38" i="2"/>
  <c r="V38" i="2"/>
  <c r="X38" i="2"/>
  <c r="B53" i="9"/>
  <c r="F52" i="3"/>
  <c r="G91" i="9"/>
  <c r="G90" i="9" s="1"/>
  <c r="H10" i="2"/>
  <c r="Q29" i="2"/>
  <c r="S11" i="2"/>
  <c r="R185" i="4"/>
  <c r="I14" i="2"/>
  <c r="M15" i="2"/>
  <c r="F15" i="3"/>
  <c r="B214" i="9"/>
  <c r="I205" i="9"/>
  <c r="W20" i="2"/>
  <c r="W25" i="2" l="1"/>
  <c r="W109" i="4"/>
  <c r="W90" i="4"/>
  <c r="V22" i="2"/>
  <c r="U22" i="2" s="1"/>
  <c r="F24" i="2"/>
  <c r="M205" i="4"/>
  <c r="I142" i="4"/>
  <c r="G27" i="2" s="1"/>
  <c r="G9" i="2"/>
  <c r="F10" i="2"/>
  <c r="H142" i="4"/>
  <c r="M11" i="4"/>
  <c r="K22" i="2"/>
  <c r="D22" i="2" s="1"/>
  <c r="M90" i="4"/>
  <c r="L24" i="2"/>
  <c r="K24" i="2" s="1"/>
  <c r="M198" i="4"/>
  <c r="B198" i="9"/>
  <c r="K15" i="2"/>
  <c r="K42" i="3"/>
  <c r="G8" i="3"/>
  <c r="N109" i="4"/>
  <c r="L25" i="2" s="1"/>
  <c r="N223" i="4"/>
  <c r="T22" i="4"/>
  <c r="R21" i="2" s="1"/>
  <c r="Q143" i="4"/>
  <c r="Q142" i="4" s="1"/>
  <c r="O27" i="2" s="1"/>
  <c r="J7" i="3"/>
  <c r="U8" i="3"/>
  <c r="U7" i="3" s="1"/>
  <c r="R12" i="4"/>
  <c r="W192" i="4"/>
  <c r="S190" i="4"/>
  <c r="R190" i="4" s="1"/>
  <c r="R119" i="4"/>
  <c r="R201" i="4"/>
  <c r="P16" i="2"/>
  <c r="O42" i="3"/>
  <c r="U14" i="2"/>
  <c r="K53" i="3"/>
  <c r="S53" i="3"/>
  <c r="R13" i="4"/>
  <c r="W13" i="4"/>
  <c r="O22" i="4"/>
  <c r="M21" i="2" s="1"/>
  <c r="W103" i="4"/>
  <c r="L99" i="4"/>
  <c r="J24" i="2" s="1"/>
  <c r="W106" i="4"/>
  <c r="R110" i="4"/>
  <c r="U25" i="2"/>
  <c r="R113" i="4"/>
  <c r="R116" i="4"/>
  <c r="W116" i="4"/>
  <c r="C26" i="2"/>
  <c r="L143" i="4"/>
  <c r="L142" i="4" s="1"/>
  <c r="J27" i="2" s="1"/>
  <c r="W187" i="4"/>
  <c r="K22" i="4"/>
  <c r="I20" i="2" s="1"/>
  <c r="P109" i="4"/>
  <c r="N25" i="2" s="1"/>
  <c r="P99" i="4"/>
  <c r="N24" i="2" s="1"/>
  <c r="F63" i="3"/>
  <c r="F24" i="3"/>
  <c r="F19" i="3"/>
  <c r="F44" i="3"/>
  <c r="F39" i="3"/>
  <c r="F59" i="3"/>
  <c r="F33" i="3"/>
  <c r="F28" i="3"/>
  <c r="G223" i="4"/>
  <c r="E29" i="2" s="1"/>
  <c r="C29" i="2" s="1"/>
  <c r="D223" i="4"/>
  <c r="B29" i="2" s="1"/>
  <c r="H109" i="4"/>
  <c r="H27" i="4"/>
  <c r="D27" i="4"/>
  <c r="J27" i="9"/>
  <c r="Q22" i="9"/>
  <c r="M27" i="9"/>
  <c r="F99" i="9"/>
  <c r="F10" i="9" s="1"/>
  <c r="F7" i="9" s="1"/>
  <c r="M99" i="9"/>
  <c r="H109" i="9"/>
  <c r="B109" i="9" s="1"/>
  <c r="F205" i="9"/>
  <c r="N205" i="9"/>
  <c r="M205" i="9"/>
  <c r="P205" i="9"/>
  <c r="G214" i="9"/>
  <c r="K205" i="9"/>
  <c r="L99" i="9"/>
  <c r="H21" i="6"/>
  <c r="E156" i="4"/>
  <c r="E143" i="4" s="1"/>
  <c r="E142" i="4" s="1"/>
  <c r="H99" i="4"/>
  <c r="E27" i="4"/>
  <c r="B31" i="9"/>
  <c r="I109" i="9"/>
  <c r="Q109" i="9"/>
  <c r="G110" i="9"/>
  <c r="G109" i="9" s="1"/>
  <c r="G157" i="9"/>
  <c r="R223" i="9"/>
  <c r="P223" i="9"/>
  <c r="K109" i="9"/>
  <c r="M7" i="3"/>
  <c r="U12" i="2"/>
  <c r="Y10" i="4"/>
  <c r="W185" i="4"/>
  <c r="F17" i="3"/>
  <c r="F49" i="3"/>
  <c r="F32" i="3"/>
  <c r="F43" i="3"/>
  <c r="F25" i="3"/>
  <c r="F74" i="3"/>
  <c r="D99" i="4"/>
  <c r="B24" i="2" s="1"/>
  <c r="H7" i="3"/>
  <c r="G7" i="3" s="1"/>
  <c r="Y223" i="4"/>
  <c r="W29" i="2" s="1"/>
  <c r="P25" i="2"/>
  <c r="N27" i="4"/>
  <c r="M156" i="4"/>
  <c r="W190" i="4"/>
  <c r="M201" i="4"/>
  <c r="O64" i="3"/>
  <c r="K12" i="2"/>
  <c r="U13" i="2"/>
  <c r="K14" i="2"/>
  <c r="M13" i="4"/>
  <c r="W53" i="4"/>
  <c r="R75" i="4"/>
  <c r="Z22" i="4"/>
  <c r="X21" i="2" s="1"/>
  <c r="R157" i="4"/>
  <c r="W164" i="4"/>
  <c r="I109" i="4"/>
  <c r="G25" i="2" s="1"/>
  <c r="M206" i="4"/>
  <c r="F13" i="2"/>
  <c r="G11" i="2"/>
  <c r="F11" i="2" s="1"/>
  <c r="R91" i="4"/>
  <c r="P20" i="2"/>
  <c r="R109" i="4"/>
  <c r="N143" i="4"/>
  <c r="N142" i="4" s="1"/>
  <c r="P205" i="4"/>
  <c r="N28" i="2" s="1"/>
  <c r="G53" i="3"/>
  <c r="M91" i="4"/>
  <c r="V8" i="3"/>
  <c r="R13" i="2"/>
  <c r="P13" i="2" s="1"/>
  <c r="S31" i="3"/>
  <c r="G42" i="3"/>
  <c r="F42" i="3" s="1"/>
  <c r="S42" i="3"/>
  <c r="W31" i="4"/>
  <c r="Q27" i="4"/>
  <c r="W91" i="4"/>
  <c r="R224" i="4"/>
  <c r="R232" i="4"/>
  <c r="I223" i="4"/>
  <c r="G29" i="2" s="1"/>
  <c r="P27" i="4"/>
  <c r="P22" i="4" s="1"/>
  <c r="N21" i="2" s="1"/>
  <c r="G9" i="3"/>
  <c r="F50" i="3"/>
  <c r="F65" i="3"/>
  <c r="H223" i="4"/>
  <c r="G205" i="4"/>
  <c r="E28" i="2" s="1"/>
  <c r="C28" i="2" s="1"/>
  <c r="D109" i="4"/>
  <c r="B25" i="2" s="1"/>
  <c r="E99" i="4"/>
  <c r="G27" i="4"/>
  <c r="G22" i="4" s="1"/>
  <c r="E21" i="2" s="1"/>
  <c r="O99" i="9"/>
  <c r="M109" i="9"/>
  <c r="P109" i="9"/>
  <c r="N156" i="9"/>
  <c r="N143" i="9" s="1"/>
  <c r="G187" i="9"/>
  <c r="G185" i="9" s="1"/>
  <c r="Q205" i="9"/>
  <c r="E223" i="9"/>
  <c r="K223" i="9"/>
  <c r="B223" i="9" s="1"/>
  <c r="L27" i="9"/>
  <c r="L22" i="9" s="1"/>
  <c r="L10" i="9" s="1"/>
  <c r="L7" i="9" s="1"/>
  <c r="D8" i="3"/>
  <c r="D10" i="4"/>
  <c r="F143" i="9"/>
  <c r="M143" i="9"/>
  <c r="M142" i="9" s="1"/>
  <c r="B201" i="9"/>
  <c r="B13" i="9"/>
  <c r="E27" i="9"/>
  <c r="N27" i="9"/>
  <c r="B75" i="9"/>
  <c r="J99" i="9"/>
  <c r="S99" i="9"/>
  <c r="G103" i="9"/>
  <c r="R99" i="9"/>
  <c r="O109" i="9"/>
  <c r="R109" i="9"/>
  <c r="E109" i="9"/>
  <c r="E10" i="9" s="1"/>
  <c r="O143" i="9"/>
  <c r="O142" i="9" s="1"/>
  <c r="E156" i="9"/>
  <c r="E143" i="9" s="1"/>
  <c r="Q156" i="9"/>
  <c r="Q143" i="9" s="1"/>
  <c r="Q142" i="9" s="1"/>
  <c r="I156" i="9"/>
  <c r="S156" i="9"/>
  <c r="S143" i="9" s="1"/>
  <c r="S142" i="9" s="1"/>
  <c r="S223" i="9"/>
  <c r="G224" i="9"/>
  <c r="G223" i="9" s="1"/>
  <c r="R143" i="9"/>
  <c r="R142" i="9" s="1"/>
  <c r="B91" i="9"/>
  <c r="J22" i="9"/>
  <c r="I27" i="9"/>
  <c r="I22" i="9" s="1"/>
  <c r="I10" i="9" s="1"/>
  <c r="G100" i="9"/>
  <c r="G116" i="9"/>
  <c r="J143" i="9"/>
  <c r="J142" i="9" s="1"/>
  <c r="G201" i="9"/>
  <c r="G198" i="9" s="1"/>
  <c r="G206" i="9"/>
  <c r="G205" i="9" s="1"/>
  <c r="K99" i="9"/>
  <c r="K156" i="9"/>
  <c r="B24" i="9"/>
  <c r="B110" i="9"/>
  <c r="M22" i="9"/>
  <c r="F27" i="9"/>
  <c r="P27" i="9"/>
  <c r="P22" i="9" s="1"/>
  <c r="P10" i="9" s="1"/>
  <c r="P7" i="9" s="1"/>
  <c r="B113" i="9"/>
  <c r="S205" i="9"/>
  <c r="K27" i="9"/>
  <c r="K22" i="9" s="1"/>
  <c r="L109" i="9"/>
  <c r="L156" i="9"/>
  <c r="L143" i="9" s="1"/>
  <c r="L142" i="9" s="1"/>
  <c r="S27" i="9"/>
  <c r="S22" i="9" s="1"/>
  <c r="W24" i="4"/>
  <c r="F24" i="4" s="1"/>
  <c r="W122" i="4"/>
  <c r="F122" i="4" s="1"/>
  <c r="R27" i="9"/>
  <c r="R22" i="9" s="1"/>
  <c r="W10" i="2"/>
  <c r="W9" i="2" s="1"/>
  <c r="F10" i="3"/>
  <c r="G164" i="9"/>
  <c r="G156" i="9" s="1"/>
  <c r="G31" i="9"/>
  <c r="W21" i="2"/>
  <c r="Q22" i="2"/>
  <c r="P22" i="2" s="1"/>
  <c r="R90" i="4"/>
  <c r="W22" i="4"/>
  <c r="V21" i="2"/>
  <c r="F53" i="3"/>
  <c r="V20" i="2"/>
  <c r="G11" i="4"/>
  <c r="V27" i="2"/>
  <c r="U15" i="2"/>
  <c r="V16" i="2"/>
  <c r="U16" i="2" s="1"/>
  <c r="S64" i="3"/>
  <c r="M223" i="9"/>
  <c r="B232" i="9"/>
  <c r="L28" i="2"/>
  <c r="K28" i="2" s="1"/>
  <c r="L20" i="2"/>
  <c r="U29" i="2"/>
  <c r="S9" i="3"/>
  <c r="T8" i="3"/>
  <c r="N13" i="2"/>
  <c r="K13" i="2" s="1"/>
  <c r="K31" i="3"/>
  <c r="F31" i="3" s="1"/>
  <c r="R15" i="2"/>
  <c r="P15" i="2" s="1"/>
  <c r="D15" i="2" s="1"/>
  <c r="O53" i="3"/>
  <c r="N16" i="2"/>
  <c r="K16" i="2" s="1"/>
  <c r="K64" i="3"/>
  <c r="F70" i="3"/>
  <c r="N99" i="9"/>
  <c r="B100" i="9"/>
  <c r="Q223" i="9"/>
  <c r="Q14" i="2"/>
  <c r="P14" i="2" s="1"/>
  <c r="D14" i="2" s="1"/>
  <c r="J10" i="4"/>
  <c r="P29" i="2"/>
  <c r="T10" i="4"/>
  <c r="S142" i="4"/>
  <c r="Y99" i="4"/>
  <c r="W24" i="2" s="1"/>
  <c r="F28" i="2"/>
  <c r="R8" i="3"/>
  <c r="S10" i="2" s="1"/>
  <c r="S9" i="2" s="1"/>
  <c r="G64" i="3"/>
  <c r="H16" i="2"/>
  <c r="M20" i="2"/>
  <c r="O10" i="4"/>
  <c r="R31" i="4"/>
  <c r="S27" i="4"/>
  <c r="R100" i="4"/>
  <c r="S99" i="4"/>
  <c r="K26" i="2"/>
  <c r="U26" i="2"/>
  <c r="O143" i="4"/>
  <c r="R144" i="4"/>
  <c r="U143" i="4"/>
  <c r="U142" i="4" s="1"/>
  <c r="W157" i="4"/>
  <c r="Z156" i="4"/>
  <c r="Z143" i="4" s="1"/>
  <c r="K143" i="4"/>
  <c r="K142" i="4" s="1"/>
  <c r="I27" i="2" s="1"/>
  <c r="F27" i="2" s="1"/>
  <c r="K12" i="4"/>
  <c r="K11" i="4" s="1"/>
  <c r="K10" i="4" s="1"/>
  <c r="H13" i="4"/>
  <c r="F26" i="2"/>
  <c r="I22" i="4"/>
  <c r="P143" i="4"/>
  <c r="P142" i="4" s="1"/>
  <c r="N27" i="2" s="1"/>
  <c r="N20" i="2"/>
  <c r="F56" i="3"/>
  <c r="F27" i="3"/>
  <c r="F13" i="3"/>
  <c r="F73" i="3"/>
  <c r="F69" i="3"/>
  <c r="B12" i="9"/>
  <c r="B11" i="9"/>
  <c r="Q99" i="9"/>
  <c r="H185" i="9"/>
  <c r="B185" i="9" s="1"/>
  <c r="B187" i="9"/>
  <c r="R11" i="4"/>
  <c r="R156" i="4"/>
  <c r="M109" i="4"/>
  <c r="W223" i="4"/>
  <c r="N8" i="3"/>
  <c r="W27" i="4"/>
  <c r="M119" i="4"/>
  <c r="Q12" i="2"/>
  <c r="P12" i="2" s="1"/>
  <c r="P8" i="3"/>
  <c r="Q10" i="2" s="1"/>
  <c r="M12" i="4"/>
  <c r="L10" i="4"/>
  <c r="I21" i="2"/>
  <c r="X99" i="4"/>
  <c r="X10" i="4" s="1"/>
  <c r="W156" i="4"/>
  <c r="V143" i="4"/>
  <c r="V142" i="4" s="1"/>
  <c r="T27" i="2" s="1"/>
  <c r="K20" i="3"/>
  <c r="M24" i="4"/>
  <c r="W110" i="4"/>
  <c r="X11" i="2"/>
  <c r="U11" i="2" s="1"/>
  <c r="S20" i="3"/>
  <c r="T20" i="2"/>
  <c r="V10" i="4"/>
  <c r="Z12" i="4"/>
  <c r="Z11" i="4" s="1"/>
  <c r="Z10" i="4" s="1"/>
  <c r="Q28" i="2"/>
  <c r="P28" i="2" s="1"/>
  <c r="R205" i="4"/>
  <c r="W206" i="4"/>
  <c r="X205" i="4"/>
  <c r="K223" i="4"/>
  <c r="I29" i="2" s="1"/>
  <c r="F29" i="2" s="1"/>
  <c r="K109" i="4"/>
  <c r="I25" i="2" s="1"/>
  <c r="F25" i="2" s="1"/>
  <c r="F142" i="4"/>
  <c r="C22" i="2"/>
  <c r="M10" i="9"/>
  <c r="M192" i="4"/>
  <c r="W75" i="4"/>
  <c r="F40" i="3"/>
  <c r="F55" i="3"/>
  <c r="F35" i="3"/>
  <c r="F223" i="9"/>
  <c r="Q22" i="4"/>
  <c r="F41" i="3"/>
  <c r="F38" i="3"/>
  <c r="E8" i="3"/>
  <c r="B90" i="9"/>
  <c r="F12" i="2"/>
  <c r="F57" i="3"/>
  <c r="F23" i="3"/>
  <c r="G143" i="4"/>
  <c r="G142" i="4" s="1"/>
  <c r="E27" i="2" s="1"/>
  <c r="G99" i="4"/>
  <c r="E24" i="2" s="1"/>
  <c r="C24" i="2" s="1"/>
  <c r="H27" i="9"/>
  <c r="H22" i="9" s="1"/>
  <c r="B116" i="9"/>
  <c r="G122" i="9"/>
  <c r="P143" i="9"/>
  <c r="P142" i="9" s="1"/>
  <c r="B164" i="9"/>
  <c r="G67" i="9"/>
  <c r="F58" i="3"/>
  <c r="F46" i="3"/>
  <c r="D23" i="2"/>
  <c r="G109" i="4"/>
  <c r="E25" i="2" s="1"/>
  <c r="C25" i="2" s="1"/>
  <c r="B103" i="9"/>
  <c r="H99" i="9"/>
  <c r="B99" i="9" s="1"/>
  <c r="J109" i="9"/>
  <c r="J10" i="9" s="1"/>
  <c r="J7" i="9" s="1"/>
  <c r="H156" i="9"/>
  <c r="B157" i="9"/>
  <c r="I143" i="9"/>
  <c r="I190" i="9"/>
  <c r="B190" i="9" s="1"/>
  <c r="B192" i="9"/>
  <c r="E205" i="9"/>
  <c r="H205" i="9"/>
  <c r="B205" i="9" s="1"/>
  <c r="B206" i="9"/>
  <c r="G144" i="9"/>
  <c r="B144" i="9"/>
  <c r="K143" i="9"/>
  <c r="K142" i="9" s="1"/>
  <c r="Q8" i="3"/>
  <c r="O9" i="3"/>
  <c r="G43" i="9"/>
  <c r="O27" i="9"/>
  <c r="O22" i="9" s="1"/>
  <c r="G13" i="9"/>
  <c r="G12" i="9" s="1"/>
  <c r="G11" i="9" s="1"/>
  <c r="G24" i="9"/>
  <c r="Q11" i="2"/>
  <c r="P11" i="2" s="1"/>
  <c r="N119" i="9"/>
  <c r="B119" i="9" s="1"/>
  <c r="B121" i="9"/>
  <c r="B122" i="9"/>
  <c r="G53" i="9"/>
  <c r="N22" i="9"/>
  <c r="N10" i="9" s="1"/>
  <c r="G75" i="9"/>
  <c r="G121" i="9"/>
  <c r="G119" i="9" s="1"/>
  <c r="X10" i="2" l="1"/>
  <c r="X9" i="2" s="1"/>
  <c r="V7" i="3"/>
  <c r="G143" i="9"/>
  <c r="G142" i="9" s="1"/>
  <c r="B156" i="9"/>
  <c r="D12" i="2"/>
  <c r="Q10" i="9"/>
  <c r="P10" i="4"/>
  <c r="N19" i="2" s="1"/>
  <c r="N18" i="2" s="1"/>
  <c r="K10" i="9"/>
  <c r="M27" i="4"/>
  <c r="N22" i="4"/>
  <c r="O10" i="9"/>
  <c r="O7" i="9" s="1"/>
  <c r="R7" i="3"/>
  <c r="C27" i="2"/>
  <c r="D25" i="2"/>
  <c r="Q9" i="2"/>
  <c r="F13" i="4"/>
  <c r="D13" i="2"/>
  <c r="S10" i="9"/>
  <c r="L29" i="2"/>
  <c r="K29" i="2" s="1"/>
  <c r="D29" i="2" s="1"/>
  <c r="M223" i="4"/>
  <c r="M99" i="4"/>
  <c r="O8" i="3"/>
  <c r="F20" i="3"/>
  <c r="F64" i="3"/>
  <c r="E7" i="9"/>
  <c r="H22" i="4"/>
  <c r="K25" i="2"/>
  <c r="D7" i="3"/>
  <c r="B10" i="2"/>
  <c r="B9" i="2" s="1"/>
  <c r="B19" i="2"/>
  <c r="B18" i="2" s="1"/>
  <c r="D7" i="4"/>
  <c r="K7" i="9"/>
  <c r="G99" i="9"/>
  <c r="R10" i="9"/>
  <c r="H10" i="9"/>
  <c r="B10" i="9" s="1"/>
  <c r="M7" i="9"/>
  <c r="R7" i="9"/>
  <c r="Q7" i="9"/>
  <c r="V7" i="4"/>
  <c r="T19" i="2"/>
  <c r="T18" i="2" s="1"/>
  <c r="T37" i="2" s="1"/>
  <c r="N7" i="3"/>
  <c r="N10" i="2"/>
  <c r="N9" i="2" s="1"/>
  <c r="I19" i="2"/>
  <c r="I18" i="2" s="1"/>
  <c r="I37" i="2" s="1"/>
  <c r="K7" i="4"/>
  <c r="S27" i="2"/>
  <c r="S18" i="2" s="1"/>
  <c r="U7" i="4"/>
  <c r="R143" i="4"/>
  <c r="V19" i="2"/>
  <c r="X7" i="4"/>
  <c r="P7" i="3"/>
  <c r="S7" i="9"/>
  <c r="W99" i="4"/>
  <c r="V24" i="2"/>
  <c r="U24" i="2" s="1"/>
  <c r="W12" i="4"/>
  <c r="G20" i="2"/>
  <c r="F20" i="2" s="1"/>
  <c r="G21" i="2"/>
  <c r="F21" i="2" s="1"/>
  <c r="I10" i="4"/>
  <c r="Q24" i="2"/>
  <c r="P24" i="2" s="1"/>
  <c r="D24" i="2" s="1"/>
  <c r="R99" i="4"/>
  <c r="M19" i="2"/>
  <c r="S37" i="2"/>
  <c r="R142" i="4"/>
  <c r="Q27" i="2"/>
  <c r="H19" i="2"/>
  <c r="H18" i="2" s="1"/>
  <c r="J7" i="4"/>
  <c r="E20" i="2"/>
  <c r="C20" i="2" s="1"/>
  <c r="G10" i="4"/>
  <c r="D26" i="2"/>
  <c r="Z142" i="4"/>
  <c r="W143" i="4"/>
  <c r="O142" i="4"/>
  <c r="M27" i="2" s="1"/>
  <c r="M143" i="4"/>
  <c r="T7" i="4"/>
  <c r="R19" i="2"/>
  <c r="R18" i="2" s="1"/>
  <c r="S8" i="3"/>
  <c r="V10" i="2"/>
  <c r="T7" i="3"/>
  <c r="O21" i="2"/>
  <c r="C21" i="2" s="1"/>
  <c r="Q10" i="4"/>
  <c r="B27" i="9"/>
  <c r="H12" i="4"/>
  <c r="H143" i="9"/>
  <c r="H142" i="9" s="1"/>
  <c r="H7" i="9" s="1"/>
  <c r="I142" i="9"/>
  <c r="I7" i="9" s="1"/>
  <c r="E7" i="3"/>
  <c r="C10" i="2"/>
  <c r="C9" i="2" s="1"/>
  <c r="V28" i="2"/>
  <c r="U28" i="2" s="1"/>
  <c r="D28" i="2" s="1"/>
  <c r="W205" i="4"/>
  <c r="X20" i="2"/>
  <c r="U20" i="2" s="1"/>
  <c r="L7" i="4"/>
  <c r="J19" i="2"/>
  <c r="J18" i="2" s="1"/>
  <c r="J37" i="2" s="1"/>
  <c r="S22" i="4"/>
  <c r="R27" i="4"/>
  <c r="F27" i="4" s="1"/>
  <c r="F16" i="2"/>
  <c r="D16" i="2" s="1"/>
  <c r="H9" i="2"/>
  <c r="L27" i="2"/>
  <c r="K27" i="2" s="1"/>
  <c r="K20" i="2"/>
  <c r="W11" i="4"/>
  <c r="H11" i="4"/>
  <c r="U21" i="2"/>
  <c r="G27" i="9"/>
  <c r="G22" i="9" s="1"/>
  <c r="G10" i="9" s="1"/>
  <c r="Q7" i="3"/>
  <c r="R10" i="2"/>
  <c r="N142" i="9"/>
  <c r="N7" i="9" s="1"/>
  <c r="B22" i="9"/>
  <c r="L21" i="2" l="1"/>
  <c r="K21" i="2" s="1"/>
  <c r="M22" i="4"/>
  <c r="N10" i="4"/>
  <c r="F12" i="4"/>
  <c r="P7" i="4"/>
  <c r="M142" i="4"/>
  <c r="B7" i="9"/>
  <c r="S7" i="3"/>
  <c r="P27" i="2"/>
  <c r="B37" i="2"/>
  <c r="F11" i="4"/>
  <c r="B143" i="9"/>
  <c r="G7" i="9"/>
  <c r="X19" i="2"/>
  <c r="Z7" i="4"/>
  <c r="E19" i="2"/>
  <c r="G7" i="4"/>
  <c r="W10" i="4"/>
  <c r="B142" i="9"/>
  <c r="R22" i="4"/>
  <c r="Q21" i="2"/>
  <c r="P21" i="2" s="1"/>
  <c r="D21" i="2" s="1"/>
  <c r="S10" i="4"/>
  <c r="M18" i="2"/>
  <c r="M37" i="2" s="1"/>
  <c r="H10" i="4"/>
  <c r="G19" i="2"/>
  <c r="I7" i="4"/>
  <c r="H7" i="4" s="1"/>
  <c r="H37" i="2"/>
  <c r="F9" i="2"/>
  <c r="O7" i="4"/>
  <c r="N37" i="2"/>
  <c r="V9" i="2"/>
  <c r="U10" i="2"/>
  <c r="O7" i="3"/>
  <c r="Q7" i="4"/>
  <c r="O19" i="2"/>
  <c r="O18" i="2" s="1"/>
  <c r="O37" i="2" s="1"/>
  <c r="X27" i="2"/>
  <c r="U27" i="2" s="1"/>
  <c r="D27" i="2" s="1"/>
  <c r="W142" i="4"/>
  <c r="Y7" i="4"/>
  <c r="W19" i="2"/>
  <c r="W18" i="2" s="1"/>
  <c r="W37" i="2" s="1"/>
  <c r="D20" i="2"/>
  <c r="V18" i="2"/>
  <c r="R9" i="2"/>
  <c r="P10" i="2"/>
  <c r="L19" i="2" l="1"/>
  <c r="N7" i="4"/>
  <c r="M10" i="4"/>
  <c r="W7" i="4"/>
  <c r="F22" i="4"/>
  <c r="M7" i="4"/>
  <c r="F7" i="4" s="1"/>
  <c r="V37" i="2"/>
  <c r="U9" i="2"/>
  <c r="R10" i="4"/>
  <c r="Q19" i="2"/>
  <c r="S7" i="4"/>
  <c r="R7" i="4" s="1"/>
  <c r="X18" i="2"/>
  <c r="X37" i="2" s="1"/>
  <c r="F19" i="2"/>
  <c r="G18" i="2"/>
  <c r="U19" i="2"/>
  <c r="C19" i="2"/>
  <c r="E18" i="2"/>
  <c r="R37" i="2"/>
  <c r="P9" i="2"/>
  <c r="F10" i="4" l="1"/>
  <c r="L18" i="2"/>
  <c r="K18" i="2" s="1"/>
  <c r="K19" i="2"/>
  <c r="F18" i="2"/>
  <c r="G37" i="2"/>
  <c r="U37" i="2"/>
  <c r="E37" i="2"/>
  <c r="C18" i="2"/>
  <c r="U18" i="2"/>
  <c r="P19" i="2"/>
  <c r="Q18" i="2"/>
  <c r="F11" i="3"/>
  <c r="L9" i="3"/>
  <c r="K9" i="3" s="1"/>
  <c r="F9" i="3" s="1"/>
  <c r="D19" i="2" l="1"/>
  <c r="P18" i="2"/>
  <c r="P37" i="2" s="1"/>
  <c r="Q37" i="2"/>
  <c r="D18" i="2"/>
  <c r="F37" i="2"/>
  <c r="L8" i="3"/>
  <c r="L11" i="2"/>
  <c r="K11" i="2" s="1"/>
  <c r="D11" i="2" s="1"/>
  <c r="L7" i="3" l="1"/>
  <c r="K7" i="3" s="1"/>
  <c r="F7" i="3" s="1"/>
  <c r="L10" i="2"/>
  <c r="K8" i="3"/>
  <c r="F8" i="3" s="1"/>
  <c r="L9" i="2" l="1"/>
  <c r="K10" i="2"/>
  <c r="D10" i="2" s="1"/>
  <c r="L37" i="2" l="1"/>
  <c r="K9" i="2"/>
  <c r="D9" i="2" l="1"/>
  <c r="B34" i="2" s="1"/>
  <c r="K37" i="2"/>
  <c r="B32" i="2" l="1"/>
  <c r="D38" i="2" s="1"/>
  <c r="D37" i="2" l="1"/>
</calcChain>
</file>

<file path=xl/comments1.xml><?xml version="1.0" encoding="utf-8"?>
<comments xmlns="http://schemas.openxmlformats.org/spreadsheetml/2006/main">
  <authors>
    <author>Author</author>
  </authors>
  <commentList>
    <comment ref="R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მოიცავს ფსიქოსოციალური რეაბილიტაციის კომპონენტის ბენეფიციარებსაც  - დეკემბრის თვის მდგომარეობით 78 ბენეფიციარი</t>
        </r>
      </text>
    </comment>
    <comment ref="BA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ვიზიტების რაოდენობა 181 928</t>
        </r>
      </text>
    </comment>
    <comment ref="BD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ვიზიტების რაოდენობა 191 637</t>
        </r>
      </text>
    </comment>
    <comment ref="R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1212 ექიმი (1 ექიმის ვაკანსია აჭარაში, 1 ქვემო ქართლში) და 1449 ექთანი (1 ექთნის სამცხე-ჯავახეთში და 1 სამეგრელო). 
სულ, პროვაიდერების ჩათვლით დაკონტრაქტებულია 1281 ექიმი და 1543 ექთანი.</t>
        </r>
      </text>
    </comment>
    <comment ref="V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1212 ექიმი (1 ექიმის ვაკანსია აჭარაში, 1 ქვემო ქართლში) და 1449 ექთანი (1 ექთნის სამცხე-ჯავახეთში და 1 სამეგრელო). 
სულ, პროვაიდერების ჩათვლით დაკონტრაქტებულია 1281 ექიმი და 1543 ექთანი.</t>
        </r>
      </text>
    </comment>
    <comment ref="Z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1211 ექიმი (1 ექიმის ვაკანსია აჭარაში, 1 ქვემო ქართლში, 1 სამცხე-ჯავახეთში) და 1449 ექთანი (1 ექთნის მცხეთა-მთიანეთში და 1 სამეგრელო). 
სულ, პროვაიდერების ჩათვლით დაკონტრაქტებულია 1280 ექიმი და 1543 ექთანი.</t>
        </r>
      </text>
    </comment>
    <comment ref="AI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1211 ექიმი (1 ექიმის ვაკანსია აჭარაში, 1 ქვემო ქართლში, 1 შიდა ქართლში) და 1449 ექთანი (1 ექთნის მცხეთა-მთიანეთში და 1 სამეგრელო). 
სულ, პროვაიდერების ჩათვლით დაკონტრაქტებულია 1280 ექიმი და 1543 ექთანი.</t>
        </r>
      </text>
    </comment>
    <comment ref="AM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12.06.2018
დღეის მდგომარეობით სააგენტოს მიმწოდებელია 1206 ექიმი (1 ექიმის ვაკანსია აჭარაში, 1 ქვემო ქართლში, 1 შიდა ქართლში, 2 კახეთში, 2 იმერეთში, 1 სამეგრელოში) და 1450 ექთანი (1 სამეგრელო). 
სულ, პროვაიდერების ჩათვლით დაკონტრაქტებულია 1275 ექიმი და 1544 ექთანი.</t>
        </r>
      </text>
    </comment>
    <comment ref="AQ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04.07.2018
დღეის მდგომარეობით სააგენტოს მიმწოდებელია 1210 ექიმი (1 ექიმის ვაკანსია აჭარაში, 1 ქვემო ქართლში, 1 კახეთში, 1 სამეგრელოში) და 1450 ექთანი (1 იმერეთი). 
სულ, პროვაიდერების ჩათვლით დაკონტრაქტებულია 1279 ექიმი და 1544 ექთანი. პროვაიდერების მიერ დაკონტრაქტებულია 69 ექიმი და 94 ექთანი.</t>
        </r>
      </text>
    </comment>
    <comment ref="AZ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08.08.2018 დღეის მდგომარეობით სააგენტოს მიმწოდებელია 1212 ექიმი (1 ექიმის ვაკანსია აჭარაში, 1 კახეთში) და 1450 ექთანი (1 იმერეთი). 
სულ, პროვაიდერების ჩათვლით დაკონტრაქტებულია 1281 ექიმი და 1544 ექთანი.
პროვაიდერების მიერ დაკონტრაქტებულია 69 ექიმი და 94 ექთანი.</t>
        </r>
      </text>
    </comment>
    <comment ref="BD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1210 ექიმი (1 ექიმის ვაკანსია აჭარაში, 1 კახეთში, 1 ქვემო ქართლში და 1 იმერეთში) და 1449 ექთანი (ვაკანსია 1 იმერეთი და ერთი რაჭა). 
სულ, პროვაიდერების ჩათვლით დაკონტრაქტებულია 1279 ექიმი და 1544 ექთანი.
პროვაიდერების მიერ დაკონტრაქტებულია 69 ექიმი და 94 ექთანი.</t>
        </r>
      </text>
    </comment>
    <comment ref="BH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1205 ექიმი (1 ექიმის ვაკანსია აჭარაში, 5 კახეთში, 1 ქვემო ქართლში და 2 იმერეთში) და 1448 ექთანი (1 ვაკანსია იმერეთში, 1 კახეთი, 1 სამეგრელო). 
სულ, პროვაიდერების ჩათვლით დაკონტრაქტებულია 1274 ექიმი და 1542 ექთანი.
პროვაიდერების მიერ დაკონტრაქტებულია 69 ექიმი და 94 ექთანი.</t>
        </r>
      </text>
    </comment>
    <comment ref="BQ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1207 ექიმი (2 ექიმის ვაკანსია აჭარაში, 2 კახეთში, 1 მცხეთა-მთიანეთში და 2 იმერეთში) და 1447 ექთანი (2 ვაკანსია იმერეთში, 1 კახეთი, 1 სამცხე). 
სულ, პროვაიდერების ჩათვლით დაკონტრაქტებულია 1276 ექიმი და 1541 ექთანი.
პროვაიდერების მიერ დაკონტრაქტებულია 69 ექიმი და 94 ექთანი.</t>
        </r>
      </text>
    </comment>
    <comment ref="BU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დღეის მდგომარეობით სააგენტოს მიმწოდებელია 1208 ექიმი (1 ექიმის ვაკანსია აჭარაში, 1 ქვემო ქართლში, 1 მცხეთა-მთიანეთში, 1 რაჭაში და 2 იმერეთში) და 1448 ექთანი (1 ვაკანსია იმერეთში, 1 კახეთი, 1 სამეგრელო). 
სულ, პროვაიდერების ჩათვლით დაკონტრაქტებულია 1277 ექიმი და 1542 ექთანი.
პროვაიდერების მიერ დაკონტრაქტებულია 69 ექიმი და 94 ექთანი.</t>
        </r>
      </text>
    </comment>
    <comment ref="BY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დღეის მდგომარეობით სააგენტოს მიმწოდებელია 1211 ექიმი (1 ექიმის ვაკანსია აჭარაში, 1 ქვემო ქართლში, 1 გურიაში) და 1448 ექთანი (1 ვაკანსია რაჭა-ლეჩხუმი ქვემო სვანეთში, 1 კახეთი, 1 სამეგრელო).
სულ, პროვაიდერების ჩათვლით დაკონტრაქტებულია 1280 ექიმი და 1542 ექთანი.
პროვაიდერების მიერ დაკონტრაქტებულია 69 ექიმი და 94 ექთანი.
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დოკუმენტი არ მაქვს  5 000 000 - ზე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B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შემთხვევა 721</t>
        </r>
      </text>
    </comment>
    <comment ref="AE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შემთხვევა 905</t>
        </r>
      </text>
    </comment>
  </commentList>
</comments>
</file>

<file path=xl/sharedStrings.xml><?xml version="1.0" encoding="utf-8"?>
<sst xmlns="http://schemas.openxmlformats.org/spreadsheetml/2006/main" count="1653" uniqueCount="595">
  <si>
    <t>პროგრამული კოდი</t>
  </si>
  <si>
    <t>ლარი</t>
  </si>
  <si>
    <t>თვეები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</si>
  <si>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</si>
  <si>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</si>
  <si>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</si>
  <si>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</si>
  <si>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</si>
  <si>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</si>
  <si>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</si>
  <si>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</si>
  <si>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</si>
  <si>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</si>
  <si>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</si>
  <si>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</si>
  <si>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</si>
  <si>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</si>
  <si>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წლიური</t>
  </si>
  <si>
    <t>დანართი N2</t>
  </si>
  <si>
    <t>საჯარო სამართლის იურიდიული პირის ბიუჯეტი (გარდა სახელმწიფო ბიუჯეტიდან გამოყოფილი მიზნობრივი სახსრებისა)</t>
  </si>
  <si>
    <t>სსიპ -------------------------------------------------------</t>
  </si>
  <si>
    <t>ცხრილი N1</t>
  </si>
  <si>
    <t>დასახელება</t>
  </si>
  <si>
    <t>გეგმა</t>
  </si>
  <si>
    <t>საკასო შესრულება</t>
  </si>
  <si>
    <t>შემოსულობები</t>
  </si>
  <si>
    <t>შემოსავლები</t>
  </si>
  <si>
    <t>საკუთარი შემოსავლები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</si>
  <si>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</si>
  <si>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</si>
  <si>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</si>
  <si>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</si>
  <si>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</si>
  <si>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</si>
  <si>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</si>
  <si>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</si>
  <si>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</si>
  <si>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</si>
  <si>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</si>
  <si>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</si>
  <si>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</si>
  <si>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</si>
  <si>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</si>
  <si>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</si>
  <si>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</si>
  <si>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</si>
  <si>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კონტროლი</t>
  </si>
  <si>
    <t>ცხრილი N2</t>
  </si>
  <si>
    <t>N</t>
  </si>
  <si>
    <t>I</t>
  </si>
  <si>
    <t>II</t>
  </si>
  <si>
    <t>III</t>
  </si>
  <si>
    <t>IV</t>
  </si>
  <si>
    <t>ცხრილი N3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</si>
  <si>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</si>
  <si>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</si>
  <si>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</si>
  <si>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</si>
  <si>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</si>
  <si>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</si>
  <si>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</si>
  <si>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</si>
  <si>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</si>
  <si>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</si>
  <si>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</si>
  <si>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</si>
  <si>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</si>
  <si>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</si>
  <si>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</si>
  <si>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</si>
  <si>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</si>
  <si>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</si>
  <si>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</si>
  <si>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</si>
  <si>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</si>
  <si>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</si>
  <si>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</si>
  <si>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</si>
  <si>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</si>
  <si>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</si>
  <si>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</si>
  <si>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</si>
  <si>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</si>
  <si>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</si>
  <si>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</si>
  <si>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</si>
  <si>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</si>
  <si>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</si>
  <si>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</si>
  <si>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</si>
  <si>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</si>
  <si>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</si>
  <si>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</si>
  <si>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</si>
  <si>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</si>
  <si>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</si>
  <si>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</si>
  <si>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</si>
  <si>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</si>
  <si>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</si>
  <si>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</si>
  <si>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</si>
  <si>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</si>
  <si>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</si>
  <si>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</si>
  <si>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</si>
  <si>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</si>
  <si>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</si>
  <si>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</si>
  <si>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</si>
  <si>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</si>
  <si>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</si>
  <si>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</si>
  <si>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</si>
  <si>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</si>
  <si>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</si>
  <si>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</si>
  <si>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</si>
  <si>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</si>
  <si>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</si>
  <si>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</si>
  <si>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</si>
  <si>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</si>
  <si>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</si>
  <si>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</si>
  <si>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</si>
  <si>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</si>
  <si>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</si>
  <si>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</si>
  <si>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</si>
  <si>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</si>
  <si>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</si>
  <si>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</si>
  <si>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</si>
  <si>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</si>
  <si>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</si>
  <si>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</si>
  <si>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</si>
  <si>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</si>
  <si>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</si>
  <si>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</si>
  <si>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</si>
  <si>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</si>
  <si>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</si>
  <si>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</si>
  <si>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</si>
  <si>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</si>
  <si>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</si>
  <si>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</si>
  <si>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</si>
  <si>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</si>
  <si>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</si>
  <si>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</si>
  <si>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</si>
  <si>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</si>
  <si>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</si>
  <si>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</si>
  <si>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</si>
  <si>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</si>
  <si>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</si>
  <si>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</si>
  <si>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</si>
  <si>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</si>
  <si>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</si>
  <si>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</si>
  <si>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</si>
  <si>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</si>
  <si>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</si>
  <si>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</si>
  <si>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</si>
  <si>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</si>
  <si>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</si>
  <si>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</si>
  <si>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</si>
  <si>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</si>
  <si>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</si>
  <si>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</si>
  <si>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</si>
  <si>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</si>
  <si>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</si>
  <si>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</si>
  <si>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</si>
  <si>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</si>
  <si>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</si>
  <si>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</si>
  <si>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</si>
  <si>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</si>
  <si>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</si>
  <si>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</si>
  <si>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</si>
  <si>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</si>
  <si>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</si>
  <si>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</si>
  <si>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</si>
  <si>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</si>
  <si>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</si>
  <si>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</si>
  <si>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</si>
  <si>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</si>
  <si>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</si>
  <si>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</si>
  <si>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</si>
  <si>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</si>
  <si>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</si>
  <si>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</si>
  <si>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</si>
  <si>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</si>
  <si>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</si>
  <si>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</si>
  <si>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</si>
  <si>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</si>
  <si>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</si>
  <si>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</si>
  <si>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</si>
  <si>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</si>
  <si>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</si>
  <si>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</si>
  <si>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</si>
  <si>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</si>
  <si>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</si>
  <si>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</si>
  <si>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</si>
  <si>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</si>
  <si>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</si>
  <si>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</si>
  <si>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</si>
  <si>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</si>
  <si>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</si>
  <si>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</si>
  <si>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</si>
  <si>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</si>
  <si>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</si>
  <si>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</si>
  <si>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</si>
  <si>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</si>
  <si>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</si>
  <si>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</si>
  <si>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</si>
  <si>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</si>
  <si>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</si>
  <si>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</si>
  <si>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</si>
  <si>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</si>
  <si>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</si>
  <si>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</si>
  <si>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</si>
  <si>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</si>
  <si>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</si>
  <si>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</si>
  <si>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</si>
  <si>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</si>
  <si>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</si>
  <si>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</si>
  <si>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დაზუსტებული გეგმა</t>
  </si>
  <si>
    <t>დამტკიცებული გეგმა</t>
  </si>
  <si>
    <t xml:space="preserve">კვარტლის </t>
  </si>
  <si>
    <t xml:space="preserve"> კვარტლის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</si>
  <si>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</si>
  <si>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</si>
  <si>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</si>
  <si>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</si>
  <si>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</si>
  <si>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</si>
  <si>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</si>
  <si>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</si>
  <si>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</si>
  <si>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</si>
  <si>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</si>
  <si>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</si>
  <si>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მიზნობრივი გრანტი</t>
  </si>
  <si>
    <t>მიზნობრივი გრანტები</t>
  </si>
  <si>
    <t xml:space="preserve"> გეგმა</t>
  </si>
  <si>
    <t>ვაკანსია (ლიმიტის ფარგლებში არსებული რესურსი)</t>
  </si>
  <si>
    <t>ბრძანებით დამტკიცებული</t>
  </si>
  <si>
    <t>ნაშთი წლის დასაწყისისათვის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</si>
  <si>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</si>
  <si>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</si>
  <si>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</si>
  <si>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</si>
  <si>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</si>
  <si>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</si>
  <si>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 საბიუჯეტო კანონით განსაზღვრული  მომსამსახურეთა  (თვეში) </t>
  </si>
  <si>
    <t>გრანტები (მ.შ. მიზნობრივი)</t>
  </si>
  <si>
    <t>დანართი N4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</si>
  <si>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</si>
  <si>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</si>
  <si>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</si>
  <si>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</si>
  <si>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</si>
  <si>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ბენეფიციარი</t>
  </si>
  <si>
    <t>შემთხვევა</t>
  </si>
  <si>
    <t>საკასო ხარჯი</t>
  </si>
  <si>
    <t>დანართი N1</t>
  </si>
  <si>
    <t>წლის განმავლობაში სულ</t>
  </si>
  <si>
    <r>
      <t xml:space="preserve">საჯარო სამართლის იურიდიული პირის საკუთარი სახსრების ფარგლებში (გარდა სახელმწიფო ბიუჯეტიდან გამოყოფილი მიზნობრივი სახსრებისა) </t>
    </r>
    <r>
      <rPr>
        <b/>
        <sz val="12"/>
        <rFont val="Calibri"/>
        <family val="2"/>
        <scheme val="minor"/>
      </rPr>
      <t>დაგეგმილი შემოსულობების შესრულების  ანგარიში</t>
    </r>
  </si>
  <si>
    <r>
      <t xml:space="preserve">საჯარო სამართლის იურიდიული პირის </t>
    </r>
    <r>
      <rPr>
        <b/>
        <sz val="12"/>
        <rFont val="Calibri"/>
        <family val="2"/>
        <scheme val="minor"/>
      </rPr>
      <t>საკუთარი შემოსულობების</t>
    </r>
    <r>
      <rPr>
        <b/>
        <sz val="12"/>
        <rFont val="Calibri"/>
        <family val="2"/>
        <charset val="204"/>
        <scheme val="minor"/>
      </rPr>
      <t xml:space="preserve"> ფარგლებში დაგეგმილი </t>
    </r>
    <r>
      <rPr>
        <b/>
        <sz val="12"/>
        <rFont val="Calibri"/>
        <family val="2"/>
        <scheme val="minor"/>
      </rPr>
      <t>გადასახდელების</t>
    </r>
    <r>
      <rPr>
        <b/>
        <sz val="12"/>
        <rFont val="Calibri"/>
        <family val="2"/>
        <charset val="204"/>
        <scheme val="minor"/>
      </rPr>
      <t xml:space="preserve"> (გარდა სახელმწიფო ბიუჯეტიდან გამოყოფილი მიზნობრივი სახსრებისა) შესრულების ანგარიში</t>
    </r>
  </si>
  <si>
    <r>
      <t xml:space="preserve">შენიშვნა: </t>
    </r>
    <r>
      <rPr>
        <i/>
        <sz val="12"/>
        <rFont val="Sylfaen"/>
        <family val="1"/>
        <charset val="204"/>
      </rPr>
      <t>"შტატით გათვალისწინებული მომუშავეთა რიცხოვნობა" და "შტატგარეშე მომუშავეთა რიცხოვნობა" გრაფებში იწერება, მხოლოდ ის რაოდენობა, რომელიც ფინანსდება საკუთარი შემოსულობების ფარგლებში დაგეგმილი ხარჯებიდან</t>
    </r>
  </si>
  <si>
    <t>სხვა არაკლასიფიცირებული შემოსულობები</t>
  </si>
  <si>
    <t>ხელშეკრულების პირობების დარღვევისათვის დაკისრებული პირგასამტეხლო</t>
  </si>
  <si>
    <t>სხვა დებიტორული დავალიანება</t>
  </si>
  <si>
    <t>დეპოზიტზე დარიცხული პროცენტი</t>
  </si>
  <si>
    <t>ბრძანებით დამტკიცებული შტატგარეშე მოსამსახურე
(ლიმიტით გათვალისწინებული რაოდენობა)</t>
  </si>
  <si>
    <t>35 03 02 12 01</t>
  </si>
  <si>
    <t>35 05 02</t>
  </si>
  <si>
    <t>35 03 03 11</t>
  </si>
  <si>
    <t>I კვარტლის</t>
  </si>
  <si>
    <t>35 02 01</t>
  </si>
  <si>
    <t>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</si>
  <si>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</si>
  <si>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</si>
  <si>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35 02 03 01</t>
  </si>
  <si>
    <t>კრიზისულ  მდგომარეობაში მყოფიბავშვიანი ოჯახების გადაუდებელი დახმარების ქვეპროგრამა</t>
  </si>
  <si>
    <t>35 02 03 02</t>
  </si>
  <si>
    <t xml:space="preserve">ბავშვთა ადრეული განვითარების ქვეპროგრამა </t>
  </si>
  <si>
    <t>35 02 03 03</t>
  </si>
  <si>
    <t>ბავშვთა რეაბილიტაციის/აბილიტაციის ქვეპროგრამა</t>
  </si>
  <si>
    <t>35 02 03  04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</si>
  <si>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</si>
  <si>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</si>
  <si>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</si>
  <si>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</si>
  <si>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 xml:space="preserve">დამხმარე საშუალებების უზრუნველყოფის ქვეპროგრამა </t>
  </si>
  <si>
    <t>სავარძელ ეტლები (ელექტრო)</t>
  </si>
  <si>
    <t>სავარძელ ეტლები (მექანიკური)</t>
  </si>
  <si>
    <t>საპროთეზო-ორთოპედიული</t>
  </si>
  <si>
    <t>სმენის აპარატები</t>
  </si>
  <si>
    <t>კოხლეარული იმპლანტი</t>
  </si>
  <si>
    <t>ყავარჯნები, ხელჯოხები</t>
  </si>
  <si>
    <t>35 02 03 07</t>
  </si>
  <si>
    <t>ყრუთა კომუნიკაციის ხელშეწყობის  ქვეპროგრამა</t>
  </si>
  <si>
    <t>35 02 03 08</t>
  </si>
  <si>
    <t xml:space="preserve">დედათა და ბავშვთა თავშესაფრით უზრუნველყოფის ქვეპროგრამა </t>
  </si>
  <si>
    <t>35 02 03 09</t>
  </si>
  <si>
    <t>მინდობით აღზრდის ქვეპროგრამა</t>
  </si>
  <si>
    <t>35 02 03 10</t>
  </si>
  <si>
    <t>მცირე 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</si>
  <si>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</si>
  <si>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</si>
  <si>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</si>
  <si>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სათემო ორგანიზაციების ქვეპროგრამა 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</si>
  <si>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</si>
  <si>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</si>
  <si>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</si>
  <si>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მძიმე და ღრმა შეზღუდული შესაძლებლობების ან ჯანმრთელობის პრობლემების  მქონე ბავშვთა სპეციალიზებული საოჯახო ტიპის მომსახურების ქვეპროგრამა</t>
  </si>
  <si>
    <t>35 02 04 01</t>
  </si>
  <si>
    <t>სოციალური შეღავათები მაღალმთიან დასახლებაში - სახელმწიფო პენსიის მიმღებ პირთა დანამატი</t>
  </si>
  <si>
    <t>35 02 04 02</t>
  </si>
  <si>
    <t>სოციალური შეღავათები მაღალმთიან დასახლებაში  - სოციალური პაკეტის მიმღებ პირთა დანამატი</t>
  </si>
  <si>
    <t>35 02 04 03</t>
  </si>
  <si>
    <t>სოციალური შეღავათები მაღალმთიან დასახლებაში - სხვა დანარჩენი კატეგორიებისთვის</t>
  </si>
  <si>
    <t>35 02 04 04</t>
  </si>
  <si>
    <t>სოციალური შეღავათები  მაღალმთიან დასახლებაში - მოხმარებული ელექტროენერგიის საფასური</t>
  </si>
  <si>
    <t>35 03 02 06 01</t>
  </si>
  <si>
    <t>ინფექციური დაავადებების მართვა</t>
  </si>
  <si>
    <t>35 03 02 07 01</t>
  </si>
  <si>
    <t>ტუბერკულოზის მართვა</t>
  </si>
  <si>
    <t>სტაციონარული მომსახურება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</si>
  <si>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</si>
  <si>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35 03 02 08 01</t>
  </si>
  <si>
    <t>აივ ინფექცია/შიდსი</t>
  </si>
  <si>
    <t>აივ ინფექცია/შიდსით დაავადებულთა სტაციონარული მომსახურებით უზრუნველყოფა</t>
  </si>
  <si>
    <t>35 03 02 09 01</t>
  </si>
  <si>
    <t>დედათა და ბავშვთა ჯანმრთელობა</t>
  </si>
  <si>
    <t>ანტენატალური მეთვალყურეობა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</si>
  <si>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</si>
  <si>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</si>
  <si>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35 03 02 10</t>
  </si>
  <si>
    <t>ნარკომანიით დაავადებულ პაციენტთა მკურნალობა</t>
  </si>
  <si>
    <t>ეფექტურობის შეფასების კომპონენტი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</si>
  <si>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</si>
  <si>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C ჰეპატიტის მართვის პირველი ეტაპის ღონისძიებების უზრუნველყოფა</t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</si>
  <si>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</si>
  <si>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</si>
  <si>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</si>
  <si>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t>35 03 03 01</t>
  </si>
  <si>
    <t>ფსიქიკური ჯანმრთელობა</t>
  </si>
  <si>
    <t xml:space="preserve">35 03 03 02 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</si>
  <si>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</si>
  <si>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</si>
  <si>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აბულატორიული დახმარება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</si>
  <si>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</si>
  <si>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</si>
  <si>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</si>
  <si>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35 03 03 04 01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</si>
  <si>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</si>
  <si>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</si>
  <si>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</si>
  <si>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</si>
  <si>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</si>
  <si>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</si>
  <si>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>სამკურნალო საშუალებათა ტრანსპორტირება, შენახვა და გაცემა</t>
  </si>
  <si>
    <t xml:space="preserve">35 03 03 05 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</si>
  <si>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</si>
  <si>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</si>
  <si>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</si>
  <si>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 xml:space="preserve">35 03 03 06 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</si>
  <si>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</si>
  <si>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</si>
  <si>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</si>
  <si>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</si>
  <si>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35 03 03 07 01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</si>
  <si>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</si>
  <si>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35 03 03 08</t>
  </si>
  <si>
    <t>სოფლის ექიმი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</si>
  <si>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</si>
  <si>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</si>
  <si>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</si>
  <si>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</si>
  <si>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35 03 03 09 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</si>
  <si>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</si>
  <si>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</si>
  <si>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</si>
  <si>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</si>
  <si>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</si>
  <si>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</si>
  <si>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</si>
  <si>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უზრუნველყოფის პროგრამა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</si>
  <si>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</si>
  <si>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ქრონიკული დაავადებათა სამკურნალო ფარმაცევტული პროდუქტის შესყიდვა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</si>
  <si>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</si>
  <si>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</si>
  <si>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სამედიცინო მომსახურება სიფილისზე ეჭვის შემთხვევაში</t>
  </si>
  <si>
    <t>N2 და N8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</si>
  <si>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35 03 05</t>
  </si>
  <si>
    <t>მოსახლეობის საყოველთაო ჯანმრთელობის დაცვის პროგრამა</t>
  </si>
  <si>
    <t>პროგრამის/ქვეპროგრამის დასახელება</t>
  </si>
  <si>
    <t>სამედიცინო მომსახურების დაფინანსება შემთხვევების მიხედვით</t>
  </si>
  <si>
    <t>ბენეფიციართა რაოდენობა</t>
  </si>
  <si>
    <t>მიმწოდებელი დაწესებულებების რაოდენობა</t>
  </si>
  <si>
    <t>მ.შ. ურგენტული</t>
  </si>
  <si>
    <t>მ.შ. გეგმური</t>
  </si>
  <si>
    <t>პირველადი ჯანდაცვის კომპონენტი</t>
  </si>
  <si>
    <t>სახელმწიფო პროგრამების საკასო შესრულების ანგარიში</t>
  </si>
  <si>
    <r>
      <t>სტაციონარული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დეტოქსიკაცია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პირველადი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რეაბილიტაცია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ოპიოიდების</t>
    </r>
    <r>
      <rPr>
        <sz val="12"/>
        <rFont val="Times New Roman"/>
        <family val="1"/>
        <charset val="204"/>
      </rPr>
      <t xml:space="preserve">, სტიმულატორების და სხვა </t>
    </r>
    <r>
      <rPr>
        <sz val="12"/>
        <rFont val="Sylfaen"/>
        <family val="1"/>
        <charset val="204"/>
      </rPr>
      <t>ფსიქოაქტიური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ნივთიერებების, მოხმარებით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გამოწვეული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ფსიქიკური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ქცევითი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აშლილობების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დროს</t>
    </r>
  </si>
  <si>
    <r>
      <t>ჩანაცვლებითი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თერაპიის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განხორციელება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ჩამანაცვლებელი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ფარმაცევტული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პროდუქტის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მიწოდების</t>
    </r>
    <r>
      <rPr>
        <sz val="12"/>
        <rFont val="Times New Roman"/>
        <family val="1"/>
        <charset val="204"/>
      </rPr>
      <t xml:space="preserve"> (</t>
    </r>
    <r>
      <rPr>
        <sz val="12"/>
        <rFont val="Sylfaen"/>
        <family val="1"/>
        <charset val="204"/>
      </rPr>
      <t>ტრანსპორტირება</t>
    </r>
    <r>
      <rPr>
        <sz val="12"/>
        <rFont val="Times New Roman"/>
        <family val="1"/>
        <charset val="204"/>
      </rPr>
      <t xml:space="preserve">, </t>
    </r>
    <r>
      <rPr>
        <sz val="12"/>
        <rFont val="Sylfaen"/>
        <family val="1"/>
        <charset val="204"/>
      </rPr>
      <t>ბადრაგირება</t>
    </r>
    <r>
      <rPr>
        <sz val="12"/>
        <rFont val="Times New Roman"/>
        <family val="1"/>
        <charset val="204"/>
      </rPr>
      <t xml:space="preserve">) </t>
    </r>
    <r>
      <rPr>
        <sz val="12"/>
        <rFont val="Sylfaen"/>
        <family val="1"/>
        <charset val="204"/>
      </rPr>
      <t>უზრუნველყოფა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ქ</t>
    </r>
    <r>
      <rPr>
        <sz val="12"/>
        <rFont val="Times New Roman"/>
        <family val="1"/>
        <charset val="204"/>
      </rPr>
      <t xml:space="preserve">. </t>
    </r>
    <r>
      <rPr>
        <sz val="12"/>
        <rFont val="Sylfaen"/>
        <family val="1"/>
        <charset val="204"/>
      </rPr>
      <t>თბილისსა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</si>
  <si>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ფარმაცევტული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პროდუქტის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შესყიდვა</t>
    </r>
  </si>
  <si>
    <r>
      <t>ჩამანაცვლებელი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ფარმაცევტული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პროდუქტის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ტრანსპორტირება</t>
    </r>
    <r>
      <rPr>
        <sz val="12"/>
        <rFont val="Times New Roman"/>
        <family val="1"/>
        <charset val="204"/>
      </rPr>
      <t xml:space="preserve">, </t>
    </r>
    <r>
      <rPr>
        <sz val="12"/>
        <rFont val="Sylfaen"/>
        <family val="1"/>
        <charset val="204"/>
      </rPr>
      <t>შენახვა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გაცემა</t>
    </r>
  </si>
  <si>
    <t>34 01 02 01</t>
  </si>
  <si>
    <t xml:space="preserve">34 01 02 03 </t>
  </si>
  <si>
    <t xml:space="preserve">34 02 05 </t>
  </si>
  <si>
    <t xml:space="preserve"> 34 01 01 01 02</t>
  </si>
  <si>
    <t>საქართველოს მთავრობის N592 დადგენილებით დამტკიცებული ბიუჯეტი</t>
  </si>
  <si>
    <t xml:space="preserve">ს უ ლ </t>
  </si>
  <si>
    <t>I კვარტალი</t>
  </si>
  <si>
    <r>
      <t xml:space="preserve">იანვარი
</t>
    </r>
    <r>
      <rPr>
        <sz val="12"/>
        <rFont val="Sylfaen"/>
        <family val="1"/>
      </rPr>
      <t>(სექატემბრის/ოქტომბრის/ნოემბრის/დეკემბრის თვის შესრულება, სადავო)</t>
    </r>
  </si>
  <si>
    <r>
      <t xml:space="preserve">თებერვალი
</t>
    </r>
    <r>
      <rPr>
        <sz val="12"/>
        <rFont val="Sylfaen"/>
        <family val="1"/>
        <charset val="204"/>
      </rPr>
      <t>(ივლისის/ოქტომბრის/ნოემბრის/დეკემბრის/იანვრის თვის შესრულება, სადავო)</t>
    </r>
  </si>
  <si>
    <r>
      <t xml:space="preserve">მარტი
</t>
    </r>
    <r>
      <rPr>
        <sz val="12"/>
        <rFont val="Sylfaen"/>
        <family val="1"/>
        <charset val="204"/>
      </rPr>
      <t>(თებერვლის თვის შესრულება)</t>
    </r>
  </si>
  <si>
    <t>II კვარტალი</t>
  </si>
  <si>
    <r>
      <t xml:space="preserve">აპრილი
</t>
    </r>
    <r>
      <rPr>
        <sz val="12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</si>
  <si>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2"/>
        <rFont val="Sylfaen"/>
        <family val="1"/>
        <charset val="204"/>
      </rPr>
      <t>(აპრილის თვის შესრულება)</t>
    </r>
  </si>
  <si>
    <r>
      <t xml:space="preserve">ივნისი
</t>
    </r>
    <r>
      <rPr>
        <sz val="12"/>
        <rFont val="Sylfaen"/>
        <family val="1"/>
        <charset val="204"/>
      </rPr>
      <t>(მაისის თვის შესრულება)</t>
    </r>
  </si>
  <si>
    <t>III კვარტალი</t>
  </si>
  <si>
    <r>
      <t xml:space="preserve">ივლისი
</t>
    </r>
    <r>
      <rPr>
        <sz val="12"/>
        <rFont val="Sylfaen"/>
        <family val="1"/>
        <charset val="204"/>
      </rPr>
      <t>(მაისი, ივნისის თვის შესრულება)</t>
    </r>
  </si>
  <si>
    <r>
      <t xml:space="preserve">აგვისტო
</t>
    </r>
    <r>
      <rPr>
        <sz val="12"/>
        <rFont val="Sylfaen"/>
        <family val="1"/>
        <charset val="204"/>
      </rPr>
      <t>(მაისი, ივნისი, ივლისის თვის შესრულება)</t>
    </r>
  </si>
  <si>
    <r>
      <t xml:space="preserve">სექტემბერი
</t>
    </r>
    <r>
      <rPr>
        <sz val="12"/>
        <rFont val="Sylfaen"/>
        <family val="1"/>
        <charset val="204"/>
      </rPr>
      <t>(ივნისი, ივლისი, აგვისტოს თვის შესრულება)</t>
    </r>
  </si>
  <si>
    <t>IV კვარტალი</t>
  </si>
  <si>
    <r>
      <t xml:space="preserve">ოქტომბერი
</t>
    </r>
    <r>
      <rPr>
        <sz val="10"/>
        <rFont val="Sylfaen"/>
        <family val="1"/>
        <charset val="204"/>
      </rPr>
      <t>(ივლისი, აგვისტო, 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</si>
  <si>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(აგვისტო, სექტემბერი, 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</si>
  <si>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(სექტემბერი, ოქტომბერი, 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</si>
  <si>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წლიური
გეგმა</t>
  </si>
  <si>
    <t>ანაზღაურებას დაქვემდებარებული თანხა</t>
  </si>
  <si>
    <t>შესრულებული სამუშაო</t>
  </si>
  <si>
    <r>
      <rPr>
        <b/>
        <sz val="12"/>
        <rFont val="LitNusx"/>
        <family val="2"/>
      </rPr>
      <t>ამბულატორიული მომსახურება</t>
    </r>
    <r>
      <rPr>
        <sz val="12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</si>
  <si>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აივ ინფექცია/შიდსით დაავადებულთა ამბულატორიული მომსახურებით უზრუნველყოფა</t>
  </si>
  <si>
    <r>
      <rPr>
        <b/>
        <sz val="12"/>
        <rFont val="AcadNusx"/>
      </rPr>
      <t xml:space="preserve">მედიკამენტებითა და საკვები დანამატებით უზრუნველყოფის კომპონენტი – </t>
    </r>
    <r>
      <rPr>
        <sz val="12"/>
        <rFont val="AcadNusx"/>
      </rPr>
      <t>ფოლუმის მჟავისა და რკინის პრეპარატების შესყიდვა</t>
    </r>
  </si>
  <si>
    <r>
      <rPr>
        <b/>
        <sz val="12"/>
        <rFont val="AcadNusx"/>
      </rPr>
      <t xml:space="preserve">მედიკამენტებითა და საკვები დანამატებით უზრუნველყოფის კომპონენტი – </t>
    </r>
    <r>
      <rPr>
        <sz val="12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</si>
  <si>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12"/>
        <rFont val="AcadNusx"/>
      </rPr>
      <t xml:space="preserve">მედიკამენტებითა და საკვები დანამატებით უზრუნველყოფის კომპონენტი – </t>
    </r>
    <r>
      <rPr>
        <sz val="12"/>
        <rFont val="AcadNusx"/>
      </rPr>
      <t>მიკროელემენტების შემცველი საკვები დანამატების შესყიდვა</t>
    </r>
  </si>
  <si>
    <t>ფსიქო-სოციალური რეაბილიტაციის უზრუნველყოფა</t>
  </si>
  <si>
    <r>
      <rPr>
        <b/>
        <sz val="12"/>
        <rFont val="AcadNusx"/>
      </rPr>
      <t xml:space="preserve">ამბულატორიული მომსახურება- </t>
    </r>
    <r>
      <rPr>
        <sz val="12"/>
        <rFont val="AcadNusx"/>
      </rPr>
      <t>სათემო ამბულატორიული მომსახურება</t>
    </r>
  </si>
  <si>
    <r>
      <rPr>
        <b/>
        <sz val="12"/>
        <rFont val="AcadNusx"/>
      </rPr>
      <t xml:space="preserve">ამბულატორიული მომსახურება </t>
    </r>
    <r>
      <rPr>
        <sz val="12"/>
        <rFont val="AcadNusx"/>
      </rPr>
      <t>- ფსიქოსოციალური რეაბილიტაცია</t>
    </r>
  </si>
  <si>
    <r>
      <rPr>
        <b/>
        <sz val="12"/>
        <rFont val="AcadNusx"/>
      </rPr>
      <t>ამბულატორიული მომსახურება</t>
    </r>
    <r>
      <rPr>
        <sz val="12"/>
        <rFont val="AcadNusx"/>
      </rPr>
      <t xml:space="preserve"> - ბავშვთა ფსიქიკური ჯანმრთელობა</t>
    </r>
  </si>
  <si>
    <r>
      <rPr>
        <b/>
        <sz val="12"/>
        <rFont val="AcadNusx"/>
      </rPr>
      <t xml:space="preserve">ამბულატორიული მომსახურება </t>
    </r>
    <r>
      <rPr>
        <sz val="12"/>
        <rFont val="AcadNusx"/>
      </rPr>
      <t>- ფსიქიატრიული კრიზისული ინტერვენცია</t>
    </r>
  </si>
  <si>
    <r>
      <rPr>
        <b/>
        <sz val="12"/>
        <rFont val="AcadNusx"/>
      </rPr>
      <t xml:space="preserve">ამბულატორიული მომსახურება </t>
    </r>
    <r>
      <rPr>
        <sz val="12"/>
        <rFont val="AcadNusx"/>
      </rPr>
      <t>- თემზე დაფუძნებული მობილური გუნდის მომსახურება</t>
    </r>
  </si>
  <si>
    <r>
      <rPr>
        <b/>
        <sz val="12"/>
        <rFont val="AcadNusx"/>
      </rPr>
      <t xml:space="preserve">სტაციონარული მომსახურება </t>
    </r>
    <r>
      <rPr>
        <sz val="12"/>
        <rFont val="AcadNusx"/>
      </rPr>
      <t xml:space="preserve">- მოზრდილთა ფსიქიატრიული სტაციონარულიი მომსახურება </t>
    </r>
  </si>
  <si>
    <r>
      <rPr>
        <b/>
        <sz val="12"/>
        <rFont val="AcadNusx"/>
      </rPr>
      <t xml:space="preserve">სტაციონარული მომსახურება  </t>
    </r>
    <r>
      <rPr>
        <sz val="12"/>
        <rFont val="AcadNusx"/>
      </rPr>
      <t xml:space="preserve">- ბავშვთა ფსიქიატრიული სტაციონარულიი მომსახურება </t>
    </r>
  </si>
  <si>
    <r>
      <rPr>
        <b/>
        <sz val="12"/>
        <rFont val="AcadNusx"/>
      </rPr>
      <t>სტაციონარული მომსახურება</t>
    </r>
    <r>
      <rPr>
        <sz val="12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</si>
  <si>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r>
      <rPr>
        <b/>
        <sz val="12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 </t>
    </r>
    <r>
      <rPr>
        <sz val="12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</si>
  <si>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12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 </t>
    </r>
    <r>
      <rPr>
        <sz val="12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</si>
  <si>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12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 </t>
    </r>
    <r>
      <rPr>
        <sz val="12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</si>
  <si>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r>
      <rPr>
        <b/>
        <sz val="12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2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</si>
  <si>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12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2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</si>
  <si>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</si>
  <si>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</si>
  <si>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</si>
  <si>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</si>
  <si>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</si>
  <si>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12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12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</si>
  <si>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12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12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</si>
  <si>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</si>
  <si>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სასწრაფო სამედიცინო დახმარება</t>
  </si>
  <si>
    <t>ლოჯისტიკის კომპონენტი</t>
  </si>
  <si>
    <t>II კვარტლის</t>
  </si>
  <si>
    <t>III კვარტლის</t>
  </si>
  <si>
    <t>IVკვარტლის</t>
  </si>
  <si>
    <t>დ ა ს ა ხ ე ლ ე ბ ა</t>
  </si>
  <si>
    <t>დამტკიცებული 2018 წლის 
გეგმა</t>
  </si>
  <si>
    <t>დაზუსტებული 2018 წლის 
გეგმა</t>
  </si>
  <si>
    <t>დაზუსტებული 2018 წლის I-II-III  კვ  გეგმა</t>
  </si>
  <si>
    <t>გაწეული ხარჯი</t>
  </si>
  <si>
    <t xml:space="preserve">სულ  ხარჯი </t>
  </si>
  <si>
    <t>სხვაობა</t>
  </si>
  <si>
    <t xml:space="preserve">იანვარი </t>
  </si>
  <si>
    <r>
      <t xml:space="preserve"> </t>
    </r>
    <r>
      <rPr>
        <b/>
        <sz val="11"/>
        <rFont val="Arial"/>
        <family val="2"/>
        <charset val="204"/>
      </rPr>
      <t>ნაერთი</t>
    </r>
  </si>
  <si>
    <t>ჯამური</t>
  </si>
  <si>
    <t>მიმდინარე (გრანტები)</t>
  </si>
  <si>
    <t>პრეზიდენტის სარეზერვო ფონდი</t>
  </si>
  <si>
    <t>მთავრობის სარეზერვო ფონდი</t>
  </si>
  <si>
    <t>34</t>
  </si>
  <si>
    <t>დევნილთა და ეკომიგრანტთა პროგრამების მართვა</t>
  </si>
  <si>
    <t>34 01 01 01 02</t>
  </si>
  <si>
    <t xml:space="preserve"> საქართველოს ოკუპირებული ტერიტორიებიდან დევნილთა,შრომის ,ჯანმრთელობისა და სოციალური დაცვის სამინისტროს იმერეთის ,გურიის,რაჭა-ლეჩხუმისა და ქვემო სვანეთის ტერიტორიული ორგანო</t>
  </si>
  <si>
    <t>34 01 02 03</t>
  </si>
  <si>
    <t xml:space="preserve">  საქართველოს ოკუპირებული ტერიტორიებიდან დევნილთა,შრომის ,ჯანმრთელობისა და სოციალური დაცვის სამინისტროს აჭარისა და სამეგრელო-ზემო სვანეთის ტერიტორიული ორგანო</t>
  </si>
  <si>
    <t>34 01 03 02</t>
  </si>
  <si>
    <t xml:space="preserve"> სარეინტეგრაციო დახმარება საქართველოში დაბრუნებული მიგრანტებისათვის</t>
  </si>
  <si>
    <t xml:space="preserve">34 01 04 01 </t>
  </si>
  <si>
    <t xml:space="preserve"> ეკომიგრანტებისათვის საცხოვრებელი პირობების შექმნა</t>
  </si>
  <si>
    <t xml:space="preserve">34 02 01    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</si>
  <si>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</si>
  <si>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 xml:space="preserve">34 02 02 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</si>
  <si>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</si>
  <si>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34 02 05</t>
  </si>
  <si>
    <t xml:space="preserve"> ოკუპირებულ ტერიტორიებზე არსებული უძრავი ქონების იდენტიფიკაცია და აღრიცხვა-დეკლარირება</t>
  </si>
  <si>
    <t>35 01 04</t>
  </si>
  <si>
    <t>სსიპ - სოციალური მომსახურების სააგენტო</t>
  </si>
  <si>
    <t>გრანტები მიმდინარე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</si>
  <si>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</si>
  <si>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</si>
  <si>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</si>
  <si>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</si>
  <si>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</si>
  <si>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</si>
  <si>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</si>
  <si>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</si>
  <si>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</si>
  <si>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</si>
  <si>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</si>
  <si>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</si>
  <si>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</si>
  <si>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</si>
  <si>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</si>
  <si>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</si>
  <si>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</si>
  <si>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</si>
  <si>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</si>
  <si>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</si>
  <si>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</si>
  <si>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</si>
  <si>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35 02</t>
  </si>
  <si>
    <t>სოციალური დახმარებები და საპენსიო უზრუნველყოფა</t>
  </si>
  <si>
    <t>35 02 03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</si>
  <si>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</si>
  <si>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</si>
  <si>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</si>
  <si>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რეაბილიტაციის/აბილიტაცა</t>
  </si>
  <si>
    <t>35 02 03 04</t>
  </si>
  <si>
    <t>ომის ვეტერანთა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</si>
  <si>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</si>
  <si>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</si>
  <si>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</si>
  <si>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</si>
  <si>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</si>
  <si>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</si>
  <si>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</si>
  <si>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</si>
  <si>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ღემა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</si>
  <si>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</si>
  <si>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35 02 04</t>
  </si>
  <si>
    <t>სოციალური შეღავათები მაღალმთიან დასახლებაში</t>
  </si>
  <si>
    <t>სახელმწიფო პენსიის მიმღებ პირთა დანამატი</t>
  </si>
  <si>
    <t>სოციალური პაკეტის მიმღებ პირთა დანამატი</t>
  </si>
  <si>
    <t>სხვა დანარჩენი კატეგორიებისთვის</t>
  </si>
  <si>
    <t>მოხმარებული ელექტროენერგიის საფასური</t>
  </si>
  <si>
    <t xml:space="preserve">35 03 </t>
  </si>
  <si>
    <t>ჯანმრთელობის დაცვის პროგრამები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</si>
  <si>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</si>
  <si>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</si>
  <si>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</si>
  <si>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</si>
  <si>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35 03 02 06</t>
  </si>
  <si>
    <t>ნარკომანია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</si>
  <si>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</si>
  <si>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</si>
  <si>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</si>
  <si>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>35 03 03 02</t>
  </si>
  <si>
    <t xml:space="preserve"> დიაბეტის მართვა</t>
  </si>
  <si>
    <t>ბავშვათა ონკოჰემატოლოგიური მომსახურება</t>
  </si>
  <si>
    <t>35 03 03 04</t>
  </si>
  <si>
    <t>35 03 03 05</t>
  </si>
  <si>
    <t>35 03 03 06</t>
  </si>
  <si>
    <t>35 03 03 09</t>
  </si>
  <si>
    <t>ქრონიკული დაავადებების სამკურნალო მედიკამენტრბით უზრუნველყოფის პროგრამა</t>
  </si>
  <si>
    <t>დასაქმების ხელშეწყობის მომსახურებათა განვითარების პროგრამა</t>
  </si>
  <si>
    <t>35 05 03</t>
  </si>
  <si>
    <t>სამუშაოს მაძიებელთა პროფესიული მომზადება-გადამზადებს და კვალიფიკაციის ამაღლება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</si>
</sst>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₾_-;\-* #,##0.00\ _₾_-;_-* &quot;-&quot;??\ _₾_-;_-@_-"/>
    <numFmt numFmtId="164" formatCode="_(* #,##0.00_);_(* \(#,##0.00\);_(* &quot;-&quot;??_);_(@_)"/>
    <numFmt numFmtId="165" formatCode="#,##0.0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9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Sylfaen"/>
      <family val="1"/>
    </font>
    <font>
      <b/>
      <sz val="9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sz val="11"/>
      <color theme="3" tint="-0.249977111117893"/>
      <name val="Sylfaen"/>
      <family val="1"/>
    </font>
    <font>
      <sz val="9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Calibri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Calibri"/>
      <family val="2"/>
      <charset val="204"/>
      <scheme val="minor"/>
    </font>
    <font>
      <sz val="11"/>
      <color rgb="FF86008A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sz val="11"/>
      <color rgb="FF867E0C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2C2C9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3" tint="-0.249977111117893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Sylfaen"/>
      <family val="1"/>
    </font>
    <font>
      <b/>
      <sz val="9"/>
      <name val="Sylfaen"/>
      <family val="1"/>
    </font>
    <font>
      <b/>
      <i/>
      <sz val="9"/>
      <name val="Cambria"/>
      <family val="1"/>
      <charset val="204"/>
      <scheme val="major"/>
    </font>
    <font>
      <i/>
      <sz val="9"/>
      <name val="Sylfaen"/>
      <family val="1"/>
    </font>
    <font>
      <sz val="9"/>
      <name val="Sylfaen"/>
      <family val="1"/>
    </font>
    <font>
      <sz val="11"/>
      <name val="Sylfaen"/>
      <family val="1"/>
    </font>
    <font>
      <b/>
      <sz val="18"/>
      <name val="Calibri"/>
      <family val="2"/>
      <scheme val="minor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name val="Sylfaen"/>
      <family val="1"/>
      <charset val="204"/>
    </font>
    <font>
      <i/>
      <sz val="1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12"/>
      <color rgb="FF428306"/>
      <name val="Calibri"/>
      <family val="2"/>
      <charset val="204"/>
      <scheme val="minor"/>
    </font>
    <font>
      <b/>
      <sz val="12"/>
      <color rgb="FF86008A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8A3A0C"/>
      <name val="Calibri"/>
      <family val="2"/>
      <charset val="204"/>
      <scheme val="minor"/>
    </font>
    <font>
      <sz val="12"/>
      <name val="Sylfaen"/>
      <family val="1"/>
    </font>
    <font>
      <sz val="11"/>
      <color theme="6" tint="-0.249977111117893"/>
      <name val="Arial"/>
      <family val="2"/>
      <charset val="204"/>
    </font>
    <font>
      <sz val="8"/>
      <name val="Sylfaen"/>
      <family val="1"/>
    </font>
    <font>
      <b/>
      <sz val="10"/>
      <name val="Sylfaen"/>
      <family val="1"/>
      <charset val="204"/>
    </font>
    <font>
      <sz val="10"/>
      <name val="Arial"/>
      <family val="2"/>
    </font>
    <font>
      <sz val="10"/>
      <name val="Sylfaen"/>
      <family val="1"/>
      <charset val="204"/>
    </font>
    <font>
      <sz val="9"/>
      <name val="Calibri"/>
      <family val="2"/>
      <charset val="204"/>
      <scheme val="minor"/>
    </font>
    <font>
      <sz val="10"/>
      <name val="AcadMtav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8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i/>
      <sz val="9"/>
      <color theme="9" tint="-0.49998474074526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i/>
      <sz val="12"/>
      <color theme="3" tint="-0.249977111117893"/>
      <name val="Calibri"/>
      <family val="2"/>
      <charset val="204"/>
      <scheme val="minor"/>
    </font>
    <font>
      <b/>
      <i/>
      <sz val="12"/>
      <color theme="3" tint="-0.249977111117893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2"/>
      <name val="AcadMtavr"/>
    </font>
    <font>
      <b/>
      <sz val="9"/>
      <name val="AcadMtavr"/>
    </font>
    <font>
      <sz val="12"/>
      <name val="AcadNusx"/>
    </font>
    <font>
      <sz val="12"/>
      <name val="AcadMtavr"/>
    </font>
    <font>
      <sz val="9"/>
      <name val="AcadMtavr"/>
    </font>
    <font>
      <b/>
      <sz val="10"/>
      <name val="AcadMtavr"/>
    </font>
    <font>
      <sz val="12"/>
      <name val="LitNusx"/>
      <family val="2"/>
    </font>
    <font>
      <sz val="12"/>
      <name val="Times New Roman"/>
      <family val="1"/>
      <charset val="204"/>
    </font>
    <font>
      <b/>
      <sz val="12"/>
      <name val="Copperplate Gothic Bold"/>
      <family val="2"/>
    </font>
    <font>
      <sz val="12"/>
      <name val="Broadway"/>
      <family val="5"/>
    </font>
    <font>
      <b/>
      <sz val="9"/>
      <name val="AcadNusx"/>
    </font>
    <font>
      <b/>
      <sz val="12"/>
      <name val="AcadNusx"/>
    </font>
    <font>
      <sz val="9"/>
      <name val="AcadNusx"/>
    </font>
    <font>
      <b/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9"/>
      <name val="AcadNusx"/>
    </font>
    <font>
      <b/>
      <sz val="12"/>
      <name val="LitNusx"/>
      <family val="2"/>
    </font>
    <font>
      <b/>
      <i/>
      <sz val="9"/>
      <name val="AcadNusx"/>
    </font>
    <font>
      <b/>
      <sz val="9"/>
      <name val="Calibri"/>
      <family val="2"/>
      <scheme val="minor"/>
    </font>
    <font>
      <sz val="9"/>
      <name val="LitNusx"/>
      <family val="2"/>
    </font>
    <font>
      <sz val="9"/>
      <color indexed="81"/>
      <name val="Tahoma"/>
      <charset val="1"/>
    </font>
    <font>
      <b/>
      <sz val="12"/>
      <name val="Calibri"/>
      <family val="2"/>
    </font>
    <font>
      <sz val="12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Sylfaen"/>
      <family val="1"/>
      <charset val="204"/>
    </font>
    <font>
      <sz val="11"/>
      <name val="AcadMtavr"/>
    </font>
    <font>
      <b/>
      <sz val="11"/>
      <name val="Calibri"/>
      <family val="2"/>
      <scheme val="minor"/>
    </font>
    <font>
      <b/>
      <sz val="11"/>
      <name val="AcadMtav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 style="dotted">
        <color theme="3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13" fillId="0" borderId="0"/>
    <xf numFmtId="0" fontId="2" fillId="2" borderId="0" applyNumberFormat="0" applyBorder="0" applyAlignment="0" applyProtection="0"/>
    <xf numFmtId="0" fontId="92" fillId="0" borderId="0"/>
    <xf numFmtId="0" fontId="59" fillId="0" borderId="0"/>
    <xf numFmtId="164" fontId="1" fillId="0" borderId="0" applyFont="0" applyFill="0" applyBorder="0" applyAlignment="0" applyProtection="0"/>
  </cellStyleXfs>
  <cellXfs count="562">
    <xf numFmtId="0" fontId="0" fillId="0" borderId="0" xfId="0"/>
    <xf numFmtId="0" fontId="12" fillId="3" borderId="0" xfId="0" applyFont="1" applyFill="1" applyProtection="1">
      <protection locked="0"/>
    </xf>
    <xf numFmtId="165" fontId="12" fillId="3" borderId="0" xfId="0" applyNumberFormat="1" applyFont="1" applyFill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vertical="center" wrapText="1"/>
    </xf>
    <xf numFmtId="165" fontId="3" fillId="3" borderId="1" xfId="0" applyNumberFormat="1" applyFont="1" applyFill="1" applyBorder="1" applyAlignment="1" applyProtection="1">
      <alignment horizontal="center" vertical="center" wrapText="1"/>
    </xf>
    <xf numFmtId="165" fontId="3" fillId="3" borderId="8" xfId="0" applyNumberFormat="1" applyFont="1" applyFill="1" applyBorder="1" applyAlignment="1" applyProtection="1">
      <alignment horizontal="center" vertical="center" wrapText="1"/>
    </xf>
    <xf numFmtId="165" fontId="3" fillId="3" borderId="0" xfId="0" applyNumberFormat="1" applyFont="1" applyFill="1" applyBorder="1" applyAlignment="1" applyProtection="1">
      <alignment horizontal="center" vertical="center" wrapText="1"/>
    </xf>
    <xf numFmtId="43" fontId="3" fillId="3" borderId="1" xfId="1" applyFont="1" applyFill="1" applyBorder="1" applyAlignment="1" applyProtection="1">
      <alignment vertical="center" wrapText="1"/>
    </xf>
    <xf numFmtId="43" fontId="3" fillId="3" borderId="8" xfId="1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vertical="center" wrapText="1"/>
    </xf>
    <xf numFmtId="0" fontId="15" fillId="3" borderId="0" xfId="4" applyFont="1" applyFill="1" applyAlignment="1" applyProtection="1">
      <alignment horizontal="center" vertical="center"/>
      <protection locked="0"/>
    </xf>
    <xf numFmtId="0" fontId="15" fillId="3" borderId="0" xfId="4" applyFont="1" applyFill="1" applyProtection="1">
      <protection locked="0"/>
    </xf>
    <xf numFmtId="165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 indent="1"/>
    </xf>
    <xf numFmtId="0" fontId="10" fillId="3" borderId="2" xfId="0" applyFont="1" applyFill="1" applyBorder="1" applyAlignment="1" applyProtection="1">
      <alignment horizontal="left" vertical="center" wrapText="1" indent="3"/>
    </xf>
    <xf numFmtId="165" fontId="11" fillId="3" borderId="2" xfId="0" applyNumberFormat="1" applyFont="1" applyFill="1" applyBorder="1" applyAlignment="1" applyProtection="1">
      <alignment horizontal="center" vertical="center" wrapText="1"/>
    </xf>
    <xf numFmtId="165" fontId="8" fillId="5" borderId="2" xfId="0" applyNumberFormat="1" applyFont="1" applyFill="1" applyBorder="1" applyAlignment="1" applyProtection="1">
      <alignment horizontal="center" vertical="center" wrapText="1"/>
    </xf>
    <xf numFmtId="165" fontId="37" fillId="0" borderId="5" xfId="4" applyNumberFormat="1" applyFont="1" applyBorder="1" applyAlignment="1" applyProtection="1">
      <alignment horizontal="center" vertical="center" wrapText="1"/>
    </xf>
    <xf numFmtId="165" fontId="9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4" applyFont="1" applyFill="1" applyBorder="1" applyAlignment="1">
      <alignment horizontal="center" vertical="center"/>
    </xf>
    <xf numFmtId="0" fontId="18" fillId="3" borderId="0" xfId="4" applyFont="1" applyFill="1" applyAlignment="1">
      <alignment horizontal="center" vertical="center" wrapText="1"/>
    </xf>
    <xf numFmtId="165" fontId="19" fillId="3" borderId="0" xfId="4" applyNumberFormat="1" applyFont="1" applyFill="1" applyAlignment="1">
      <alignment horizontal="center" vertical="center"/>
    </xf>
    <xf numFmtId="0" fontId="15" fillId="3" borderId="0" xfId="4" applyFont="1" applyFill="1" applyAlignment="1">
      <alignment horizontal="center" vertical="center"/>
    </xf>
    <xf numFmtId="0" fontId="15" fillId="3" borderId="0" xfId="4" applyFont="1" applyFill="1"/>
    <xf numFmtId="0" fontId="63" fillId="0" borderId="0" xfId="5" applyFont="1" applyFill="1" applyAlignment="1">
      <alignment horizontal="right" vertical="center" wrapText="1"/>
    </xf>
    <xf numFmtId="0" fontId="14" fillId="0" borderId="0" xfId="4" applyFont="1" applyBorder="1" applyAlignment="1">
      <alignment horizontal="center" vertical="center"/>
    </xf>
    <xf numFmtId="2" fontId="20" fillId="4" borderId="38" xfId="4" applyNumberFormat="1" applyFont="1" applyFill="1" applyBorder="1" applyAlignment="1">
      <alignment horizontal="center" vertical="center" wrapText="1"/>
    </xf>
    <xf numFmtId="2" fontId="20" fillId="4" borderId="2" xfId="4" applyNumberFormat="1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5" fillId="0" borderId="0" xfId="4" applyFont="1"/>
    <xf numFmtId="0" fontId="14" fillId="0" borderId="0" xfId="4" applyFont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22" fillId="0" borderId="2" xfId="4" applyFont="1" applyFill="1" applyBorder="1" applyAlignment="1">
      <alignment horizontal="center" vertical="center" wrapText="1"/>
    </xf>
    <xf numFmtId="165" fontId="65" fillId="0" borderId="2" xfId="4" applyNumberFormat="1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165" fontId="15" fillId="0" borderId="0" xfId="4" applyNumberFormat="1" applyFont="1"/>
    <xf numFmtId="0" fontId="23" fillId="0" borderId="0" xfId="4" applyFont="1" applyBorder="1" applyAlignment="1">
      <alignment horizontal="center" vertical="top" wrapText="1"/>
    </xf>
    <xf numFmtId="0" fontId="44" fillId="0" borderId="0" xfId="4" applyFont="1" applyBorder="1" applyAlignment="1">
      <alignment horizontal="center" vertical="top" wrapText="1"/>
    </xf>
    <xf numFmtId="0" fontId="24" fillId="0" borderId="5" xfId="4" applyFont="1" applyBorder="1" applyAlignment="1">
      <alignment horizontal="center" vertical="center" wrapText="1"/>
    </xf>
    <xf numFmtId="0" fontId="25" fillId="0" borderId="5" xfId="4" applyFont="1" applyBorder="1" applyAlignment="1">
      <alignment horizontal="center" vertical="center" wrapText="1"/>
    </xf>
    <xf numFmtId="165" fontId="26" fillId="0" borderId="5" xfId="4" applyNumberFormat="1" applyFont="1" applyBorder="1" applyAlignment="1">
      <alignment horizontal="center" vertical="center" wrapText="1"/>
    </xf>
    <xf numFmtId="165" fontId="43" fillId="0" borderId="5" xfId="4" applyNumberFormat="1" applyFont="1" applyFill="1" applyBorder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27" fillId="0" borderId="0" xfId="4" applyFont="1"/>
    <xf numFmtId="0" fontId="28" fillId="0" borderId="0" xfId="4" applyFont="1" applyBorder="1" applyAlignment="1">
      <alignment horizontal="center" vertical="center" wrapText="1"/>
    </xf>
    <xf numFmtId="0" fontId="29" fillId="0" borderId="5" xfId="4" applyFont="1" applyFill="1" applyBorder="1" applyAlignment="1">
      <alignment horizontal="left" vertical="center" wrapText="1" indent="4"/>
    </xf>
    <xf numFmtId="0" fontId="30" fillId="0" borderId="5" xfId="4" applyFont="1" applyFill="1" applyBorder="1" applyAlignment="1">
      <alignment horizontal="left" vertical="center" wrapText="1" indent="4"/>
    </xf>
    <xf numFmtId="165" fontId="31" fillId="0" borderId="5" xfId="4" applyNumberFormat="1" applyFont="1" applyBorder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20" fillId="0" borderId="0" xfId="4" applyFont="1"/>
    <xf numFmtId="0" fontId="32" fillId="0" borderId="5" xfId="4" applyFont="1" applyFill="1" applyBorder="1" applyAlignment="1">
      <alignment horizontal="left" vertical="center" wrapText="1" indent="6"/>
    </xf>
    <xf numFmtId="0" fontId="33" fillId="0" borderId="5" xfId="4" applyFont="1" applyFill="1" applyBorder="1" applyAlignment="1">
      <alignment horizontal="left" vertical="center" wrapText="1" indent="6"/>
    </xf>
    <xf numFmtId="165" fontId="34" fillId="0" borderId="5" xfId="4" applyNumberFormat="1" applyFont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left" vertical="center" wrapText="1" indent="7"/>
    </xf>
    <xf numFmtId="0" fontId="36" fillId="0" borderId="5" xfId="4" applyFont="1" applyFill="1" applyBorder="1" applyAlignment="1">
      <alignment horizontal="left" vertical="center" wrapText="1" indent="7"/>
    </xf>
    <xf numFmtId="165" fontId="37" fillId="0" borderId="5" xfId="4" applyNumberFormat="1" applyFont="1" applyBorder="1" applyAlignment="1">
      <alignment horizontal="center" vertical="center" wrapText="1"/>
    </xf>
    <xf numFmtId="0" fontId="38" fillId="0" borderId="5" xfId="4" applyFont="1" applyFill="1" applyBorder="1" applyAlignment="1">
      <alignment horizontal="left" vertical="center" wrapText="1" indent="8"/>
    </xf>
    <xf numFmtId="0" fontId="39" fillId="0" borderId="5" xfId="4" applyFont="1" applyFill="1" applyBorder="1" applyAlignment="1">
      <alignment horizontal="left" vertical="center" wrapText="1" indent="8"/>
    </xf>
    <xf numFmtId="165" fontId="40" fillId="0" borderId="5" xfId="4" applyNumberFormat="1" applyFont="1" applyBorder="1" applyAlignment="1">
      <alignment horizontal="center" vertical="center" wrapText="1"/>
    </xf>
    <xf numFmtId="0" fontId="41" fillId="0" borderId="5" xfId="4" applyFont="1" applyFill="1" applyBorder="1" applyAlignment="1">
      <alignment horizontal="left" vertical="center" wrapText="1" indent="10"/>
    </xf>
    <xf numFmtId="0" fontId="42" fillId="0" borderId="5" xfId="4" applyFont="1" applyFill="1" applyBorder="1" applyAlignment="1">
      <alignment horizontal="left" vertical="center" wrapText="1" indent="10"/>
    </xf>
    <xf numFmtId="165" fontId="40" fillId="0" borderId="5" xfId="4" applyNumberFormat="1" applyFont="1" applyFill="1" applyBorder="1" applyAlignment="1">
      <alignment horizontal="center" vertical="center" wrapText="1"/>
    </xf>
    <xf numFmtId="165" fontId="37" fillId="0" borderId="5" xfId="4" applyNumberFormat="1" applyFont="1" applyFill="1" applyBorder="1" applyAlignment="1">
      <alignment horizontal="center" vertical="center" wrapText="1"/>
    </xf>
    <xf numFmtId="165" fontId="43" fillId="0" borderId="5" xfId="4" applyNumberFormat="1" applyFont="1" applyBorder="1" applyAlignment="1">
      <alignment horizontal="center" vertical="center" wrapText="1"/>
    </xf>
    <xf numFmtId="0" fontId="44" fillId="0" borderId="0" xfId="4" applyFont="1" applyFill="1" applyBorder="1" applyAlignment="1">
      <alignment horizontal="center" vertical="top" wrapText="1"/>
    </xf>
    <xf numFmtId="0" fontId="15" fillId="0" borderId="0" xfId="4" applyFont="1" applyFill="1" applyAlignment="1">
      <alignment horizontal="center" vertical="center"/>
    </xf>
    <xf numFmtId="165" fontId="45" fillId="0" borderId="5" xfId="4" applyNumberFormat="1" applyFont="1" applyBorder="1" applyAlignment="1">
      <alignment horizontal="center" vertical="center" wrapText="1"/>
    </xf>
    <xf numFmtId="165" fontId="46" fillId="0" borderId="5" xfId="4" applyNumberFormat="1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left" vertical="center" wrapText="1" indent="8"/>
    </xf>
    <xf numFmtId="0" fontId="36" fillId="0" borderId="5" xfId="4" applyFont="1" applyFill="1" applyBorder="1" applyAlignment="1">
      <alignment horizontal="left" vertical="center" wrapText="1" indent="8"/>
    </xf>
    <xf numFmtId="0" fontId="38" fillId="0" borderId="5" xfId="4" applyFont="1" applyFill="1" applyBorder="1" applyAlignment="1">
      <alignment horizontal="left" vertical="center" wrapText="1" indent="9"/>
    </xf>
    <xf numFmtId="0" fontId="39" fillId="0" borderId="5" xfId="4" applyFont="1" applyFill="1" applyBorder="1" applyAlignment="1">
      <alignment horizontal="left" vertical="center" wrapText="1" indent="9"/>
    </xf>
    <xf numFmtId="0" fontId="47" fillId="0" borderId="5" xfId="4" applyFont="1" applyFill="1" applyBorder="1" applyAlignment="1">
      <alignment horizontal="left" vertical="center" wrapText="1" indent="4"/>
    </xf>
    <xf numFmtId="0" fontId="48" fillId="0" borderId="5" xfId="4" applyFont="1" applyFill="1" applyBorder="1" applyAlignment="1">
      <alignment horizontal="left" vertical="center" wrapText="1" indent="4"/>
    </xf>
    <xf numFmtId="0" fontId="32" fillId="0" borderId="5" xfId="4" applyFont="1" applyFill="1" applyBorder="1" applyAlignment="1">
      <alignment horizontal="left" vertical="center" wrapText="1" indent="5"/>
    </xf>
    <xf numFmtId="0" fontId="33" fillId="0" borderId="5" xfId="4" applyFont="1" applyFill="1" applyBorder="1" applyAlignment="1">
      <alignment horizontal="left" vertical="center" wrapText="1" indent="5"/>
    </xf>
    <xf numFmtId="0" fontId="41" fillId="0" borderId="5" xfId="4" applyFont="1" applyFill="1" applyBorder="1" applyAlignment="1">
      <alignment horizontal="left" vertical="center" wrapText="1" indent="9"/>
    </xf>
    <xf numFmtId="0" fontId="42" fillId="0" borderId="5" xfId="4" applyFont="1" applyFill="1" applyBorder="1" applyAlignment="1">
      <alignment horizontal="left" vertical="center" wrapText="1" indent="9"/>
    </xf>
    <xf numFmtId="165" fontId="49" fillId="0" borderId="5" xfId="4" applyNumberFormat="1" applyFont="1" applyBorder="1" applyAlignment="1">
      <alignment horizontal="center" vertical="center" wrapText="1"/>
    </xf>
    <xf numFmtId="0" fontId="50" fillId="0" borderId="5" xfId="4" applyFont="1" applyFill="1" applyBorder="1" applyAlignment="1">
      <alignment horizontal="left" vertical="center" wrapText="1" indent="11"/>
    </xf>
    <xf numFmtId="0" fontId="51" fillId="0" borderId="5" xfId="4" applyFont="1" applyFill="1" applyBorder="1" applyAlignment="1">
      <alignment horizontal="left" vertical="center" wrapText="1" indent="11"/>
    </xf>
    <xf numFmtId="165" fontId="49" fillId="0" borderId="5" xfId="4" applyNumberFormat="1" applyFont="1" applyFill="1" applyBorder="1" applyAlignment="1">
      <alignment horizontal="center" vertical="center" wrapText="1"/>
    </xf>
    <xf numFmtId="165" fontId="52" fillId="0" borderId="5" xfId="4" applyNumberFormat="1" applyFont="1" applyBorder="1" applyAlignment="1">
      <alignment horizontal="center" vertical="center" wrapText="1"/>
    </xf>
    <xf numFmtId="165" fontId="46" fillId="0" borderId="5" xfId="4" applyNumberFormat="1" applyFont="1" applyBorder="1" applyAlignment="1">
      <alignment horizontal="center" vertical="center" wrapText="1"/>
    </xf>
    <xf numFmtId="165" fontId="53" fillId="0" borderId="5" xfId="4" applyNumberFormat="1" applyFont="1" applyBorder="1" applyAlignment="1">
      <alignment horizontal="center" vertical="center" wrapText="1"/>
    </xf>
    <xf numFmtId="0" fontId="35" fillId="0" borderId="40" xfId="4" applyFont="1" applyFill="1" applyBorder="1" applyAlignment="1">
      <alignment horizontal="left" vertical="center" wrapText="1" indent="7"/>
    </xf>
    <xf numFmtId="0" fontId="36" fillId="0" borderId="40" xfId="4" applyFont="1" applyFill="1" applyBorder="1" applyAlignment="1">
      <alignment horizontal="left" vertical="center" wrapText="1" indent="7"/>
    </xf>
    <xf numFmtId="165" fontId="37" fillId="0" borderId="40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9" fillId="3" borderId="2" xfId="0" applyFont="1" applyFill="1" applyBorder="1" applyAlignment="1" applyProtection="1">
      <alignment vertical="center" wrapText="1"/>
      <protection locked="0"/>
    </xf>
    <xf numFmtId="0" fontId="9" fillId="3" borderId="39" xfId="0" applyFont="1" applyFill="1" applyBorder="1" applyAlignment="1" applyProtection="1">
      <alignment vertical="center" wrapText="1"/>
      <protection locked="0"/>
    </xf>
    <xf numFmtId="165" fontId="8" fillId="3" borderId="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Protection="1">
      <protection locked="0"/>
    </xf>
    <xf numFmtId="165" fontId="3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6" fillId="3" borderId="0" xfId="3" quotePrefix="1" applyFont="1" applyFill="1" applyAlignment="1" applyProtection="1">
      <alignment horizontal="center"/>
      <protection locked="0"/>
    </xf>
    <xf numFmtId="0" fontId="3" fillId="3" borderId="0" xfId="3" applyFont="1" applyFill="1" applyAlignment="1" applyProtection="1">
      <alignment horizontal="center"/>
      <protection locked="0"/>
    </xf>
    <xf numFmtId="165" fontId="3" fillId="3" borderId="0" xfId="3" applyNumberFormat="1" applyFont="1" applyFill="1" applyAlignment="1" applyProtection="1">
      <alignment horizontal="center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 wrapText="1"/>
    </xf>
    <xf numFmtId="0" fontId="54" fillId="3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 applyProtection="1">
      <alignment horizontal="left" vertical="center" wrapText="1" indent="1"/>
    </xf>
    <xf numFmtId="165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43" fontId="1" fillId="3" borderId="0" xfId="1" applyFont="1" applyFill="1" applyProtection="1">
      <protection locked="0"/>
    </xf>
    <xf numFmtId="0" fontId="66" fillId="3" borderId="0" xfId="0" applyFont="1" applyFill="1" applyAlignment="1" applyProtection="1">
      <alignment horizontal="center" vertical="center"/>
      <protection locked="0"/>
    </xf>
    <xf numFmtId="0" fontId="67" fillId="3" borderId="0" xfId="0" applyFont="1" applyFill="1" applyProtection="1">
      <protection locked="0"/>
    </xf>
    <xf numFmtId="0" fontId="65" fillId="6" borderId="0" xfId="3" quotePrefix="1" applyFont="1" applyFill="1" applyAlignment="1" applyProtection="1">
      <alignment horizontal="center"/>
      <protection locked="0"/>
    </xf>
    <xf numFmtId="0" fontId="67" fillId="6" borderId="0" xfId="3" applyFont="1" applyFill="1" applyAlignment="1" applyProtection="1">
      <alignment horizontal="center"/>
      <protection locked="0"/>
    </xf>
    <xf numFmtId="165" fontId="67" fillId="6" borderId="0" xfId="3" applyNumberFormat="1" applyFont="1" applyFill="1" applyAlignment="1" applyProtection="1">
      <alignment horizontal="center" vertical="center"/>
      <protection locked="0"/>
    </xf>
    <xf numFmtId="165" fontId="67" fillId="3" borderId="0" xfId="0" applyNumberFormat="1" applyFont="1" applyFill="1" applyAlignment="1" applyProtection="1">
      <alignment horizontal="center" vertical="center"/>
      <protection locked="0"/>
    </xf>
    <xf numFmtId="165" fontId="69" fillId="3" borderId="0" xfId="0" applyNumberFormat="1" applyFont="1" applyFill="1" applyAlignment="1" applyProtection="1">
      <alignment horizontal="center" vertical="center"/>
      <protection locked="0"/>
    </xf>
    <xf numFmtId="165" fontId="71" fillId="3" borderId="37" xfId="0" applyNumberFormat="1" applyFont="1" applyFill="1" applyBorder="1" applyAlignment="1" applyProtection="1">
      <alignment vertical="center" wrapText="1"/>
    </xf>
    <xf numFmtId="165" fontId="71" fillId="5" borderId="2" xfId="0" applyNumberFormat="1" applyFont="1" applyFill="1" applyBorder="1" applyAlignment="1" applyProtection="1">
      <alignment horizontal="center" vertical="center" wrapText="1"/>
    </xf>
    <xf numFmtId="165" fontId="71" fillId="3" borderId="2" xfId="0" applyNumberFormat="1" applyFont="1" applyFill="1" applyBorder="1" applyAlignment="1" applyProtection="1">
      <alignment horizontal="center" vertical="center" wrapText="1"/>
    </xf>
    <xf numFmtId="16" fontId="72" fillId="3" borderId="2" xfId="0" applyNumberFormat="1" applyFont="1" applyFill="1" applyBorder="1" applyAlignment="1" applyProtection="1">
      <alignment horizontal="center" vertical="center"/>
    </xf>
    <xf numFmtId="0" fontId="70" fillId="3" borderId="2" xfId="0" applyFont="1" applyFill="1" applyBorder="1" applyAlignment="1" applyProtection="1">
      <alignment horizontal="left" vertical="center" wrapText="1" indent="1"/>
    </xf>
    <xf numFmtId="0" fontId="71" fillId="3" borderId="2" xfId="0" applyFont="1" applyFill="1" applyBorder="1" applyAlignment="1" applyProtection="1">
      <alignment horizontal="left" vertical="center" wrapText="1" indent="1"/>
    </xf>
    <xf numFmtId="165" fontId="71" fillId="3" borderId="2" xfId="0" applyNumberFormat="1" applyFont="1" applyFill="1" applyBorder="1" applyAlignment="1" applyProtection="1">
      <alignment horizontal="left" vertical="center" wrapText="1" indent="1"/>
    </xf>
    <xf numFmtId="0" fontId="66" fillId="3" borderId="2" xfId="0" applyFont="1" applyFill="1" applyBorder="1" applyAlignment="1" applyProtection="1">
      <alignment horizontal="center" vertical="center"/>
    </xf>
    <xf numFmtId="0" fontId="73" fillId="3" borderId="2" xfId="0" applyFont="1" applyFill="1" applyBorder="1" applyAlignment="1" applyProtection="1">
      <alignment horizontal="left" vertical="center" wrapText="1" indent="3"/>
    </xf>
    <xf numFmtId="165" fontId="7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73" fillId="3" borderId="2" xfId="0" applyNumberFormat="1" applyFont="1" applyFill="1" applyBorder="1" applyAlignment="1" applyProtection="1">
      <alignment horizontal="center" vertical="center" wrapText="1"/>
    </xf>
    <xf numFmtId="0" fontId="66" fillId="3" borderId="0" xfId="0" applyFont="1" applyFill="1" applyProtection="1">
      <protection locked="0"/>
    </xf>
    <xf numFmtId="0" fontId="66" fillId="3" borderId="2" xfId="0" applyFont="1" applyFill="1" applyBorder="1" applyAlignment="1" applyProtection="1">
      <alignment horizontal="center" vertical="center"/>
      <protection locked="0"/>
    </xf>
    <xf numFmtId="0" fontId="75" fillId="3" borderId="2" xfId="0" applyFont="1" applyFill="1" applyBorder="1" applyAlignment="1" applyProtection="1">
      <alignment horizontal="left" vertical="center" wrapText="1" indent="3"/>
      <protection locked="0"/>
    </xf>
    <xf numFmtId="0" fontId="72" fillId="3" borderId="2" xfId="0" applyFont="1" applyFill="1" applyBorder="1" applyAlignment="1" applyProtection="1">
      <alignment horizontal="center" vertical="center"/>
      <protection locked="0"/>
    </xf>
    <xf numFmtId="165" fontId="74" fillId="3" borderId="2" xfId="0" applyNumberFormat="1" applyFont="1" applyFill="1" applyBorder="1" applyAlignment="1" applyProtection="1">
      <alignment horizontal="center" vertical="center" wrapText="1"/>
    </xf>
    <xf numFmtId="0" fontId="44" fillId="3" borderId="0" xfId="4" applyFont="1" applyFill="1" applyBorder="1" applyAlignment="1" applyProtection="1">
      <alignment horizontal="center" vertical="center"/>
      <protection locked="0"/>
    </xf>
    <xf numFmtId="0" fontId="77" fillId="3" borderId="0" xfId="4" applyFont="1" applyFill="1" applyAlignment="1" applyProtection="1">
      <alignment horizontal="center" vertical="center" wrapText="1"/>
      <protection locked="0"/>
    </xf>
    <xf numFmtId="0" fontId="16" fillId="3" borderId="0" xfId="4" applyFont="1" applyFill="1" applyAlignment="1" applyProtection="1">
      <alignment horizontal="center" vertical="center"/>
      <protection locked="0"/>
    </xf>
    <xf numFmtId="165" fontId="78" fillId="3" borderId="0" xfId="4" applyNumberFormat="1" applyFont="1" applyFill="1" applyAlignment="1" applyProtection="1">
      <alignment horizontal="center" vertical="center"/>
      <protection locked="0"/>
    </xf>
    <xf numFmtId="165" fontId="78" fillId="3" borderId="0" xfId="4" applyNumberFormat="1" applyFont="1" applyFill="1" applyBorder="1" applyAlignment="1" applyProtection="1">
      <alignment horizontal="center" vertical="center"/>
      <protection locked="0"/>
    </xf>
    <xf numFmtId="165" fontId="71" fillId="5" borderId="20" xfId="0" applyNumberFormat="1" applyFont="1" applyFill="1" applyBorder="1" applyAlignment="1" applyProtection="1">
      <alignment horizontal="center" vertical="center" wrapText="1"/>
    </xf>
    <xf numFmtId="165" fontId="71" fillId="3" borderId="20" xfId="0" applyNumberFormat="1" applyFont="1" applyFill="1" applyBorder="1" applyAlignment="1" applyProtection="1">
      <alignment horizontal="center" vertical="center" wrapText="1"/>
    </xf>
    <xf numFmtId="0" fontId="44" fillId="3" borderId="0" xfId="4" applyFont="1" applyFill="1" applyBorder="1" applyAlignment="1" applyProtection="1">
      <alignment horizontal="center" vertical="center" wrapText="1"/>
      <protection locked="0"/>
    </xf>
    <xf numFmtId="0" fontId="21" fillId="3" borderId="14" xfId="4" applyFont="1" applyFill="1" applyBorder="1" applyAlignment="1" applyProtection="1">
      <alignment horizontal="center" vertical="center" wrapText="1"/>
    </xf>
    <xf numFmtId="0" fontId="22" fillId="3" borderId="15" xfId="4" applyFont="1" applyFill="1" applyBorder="1" applyAlignment="1" applyProtection="1">
      <alignment horizontal="center" vertical="center" wrapText="1"/>
    </xf>
    <xf numFmtId="165" fontId="21" fillId="3" borderId="24" xfId="4" applyNumberFormat="1" applyFont="1" applyFill="1" applyBorder="1" applyAlignment="1" applyProtection="1">
      <alignment horizontal="center" vertical="center" wrapText="1"/>
    </xf>
    <xf numFmtId="165" fontId="21" fillId="3" borderId="1" xfId="4" applyNumberFormat="1" applyFont="1" applyFill="1" applyBorder="1" applyAlignment="1" applyProtection="1">
      <alignment horizontal="center" vertical="center" wrapText="1"/>
    </xf>
    <xf numFmtId="165" fontId="21" fillId="3" borderId="25" xfId="4" applyNumberFormat="1" applyFont="1" applyFill="1" applyBorder="1" applyAlignment="1" applyProtection="1">
      <alignment horizontal="center" vertical="center" wrapText="1"/>
    </xf>
    <xf numFmtId="0" fontId="13" fillId="3" borderId="0" xfId="4" applyFont="1" applyFill="1" applyAlignment="1" applyProtection="1">
      <alignment vertical="center"/>
      <protection locked="0"/>
    </xf>
    <xf numFmtId="165" fontId="15" fillId="3" borderId="0" xfId="4" applyNumberFormat="1" applyFont="1" applyFill="1" applyProtection="1">
      <protection locked="0"/>
    </xf>
    <xf numFmtId="0" fontId="44" fillId="3" borderId="0" xfId="4" applyFont="1" applyFill="1" applyBorder="1" applyAlignment="1" applyProtection="1">
      <alignment horizontal="center" vertical="top" wrapText="1"/>
      <protection locked="0"/>
    </xf>
    <xf numFmtId="0" fontId="21" fillId="3" borderId="11" xfId="4" applyFont="1" applyFill="1" applyBorder="1" applyAlignment="1" applyProtection="1">
      <alignment horizontal="center" vertical="center" wrapText="1"/>
      <protection locked="0"/>
    </xf>
    <xf numFmtId="0" fontId="22" fillId="3" borderId="4" xfId="4" applyFont="1" applyFill="1" applyBorder="1" applyAlignment="1" applyProtection="1">
      <alignment horizontal="left" vertical="center" wrapText="1" indent="1"/>
    </xf>
    <xf numFmtId="165" fontId="65" fillId="3" borderId="11" xfId="4" applyNumberFormat="1" applyFont="1" applyFill="1" applyBorder="1" applyAlignment="1" applyProtection="1">
      <alignment horizontal="center" vertical="center" wrapText="1"/>
    </xf>
    <xf numFmtId="165" fontId="21" fillId="3" borderId="4" xfId="4" applyNumberFormat="1" applyFont="1" applyFill="1" applyBorder="1" applyAlignment="1" applyProtection="1">
      <alignment horizontal="center" vertical="center" wrapText="1"/>
    </xf>
    <xf numFmtId="165" fontId="79" fillId="3" borderId="4" xfId="4" applyNumberFormat="1" applyFont="1" applyFill="1" applyBorder="1" applyAlignment="1" applyProtection="1">
      <alignment horizontal="center" vertical="center" wrapText="1"/>
      <protection locked="0"/>
    </xf>
    <xf numFmtId="165" fontId="79" fillId="3" borderId="21" xfId="4" applyNumberFormat="1" applyFont="1" applyFill="1" applyBorder="1" applyAlignment="1" applyProtection="1">
      <alignment horizontal="center" vertical="center" wrapText="1"/>
      <protection locked="0"/>
    </xf>
    <xf numFmtId="165" fontId="21" fillId="3" borderId="20" xfId="4" applyNumberFormat="1" applyFont="1" applyFill="1" applyBorder="1" applyAlignment="1" applyProtection="1">
      <alignment horizontal="center" vertical="center" wrapText="1"/>
    </xf>
    <xf numFmtId="165" fontId="79" fillId="3" borderId="20" xfId="4" applyNumberFormat="1" applyFont="1" applyFill="1" applyBorder="1" applyAlignment="1" applyProtection="1">
      <alignment horizontal="center" vertical="center" wrapText="1"/>
      <protection locked="0"/>
    </xf>
    <xf numFmtId="165" fontId="79" fillId="3" borderId="7" xfId="4" applyNumberFormat="1" applyFont="1" applyFill="1" applyBorder="1" applyAlignment="1" applyProtection="1">
      <alignment horizontal="center" vertical="center" wrapText="1"/>
      <protection locked="0"/>
    </xf>
    <xf numFmtId="165" fontId="21" fillId="3" borderId="5" xfId="4" applyNumberFormat="1" applyFont="1" applyFill="1" applyBorder="1" applyAlignment="1" applyProtection="1">
      <alignment horizontal="center" vertical="center" wrapText="1"/>
    </xf>
    <xf numFmtId="165" fontId="79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3" borderId="0" xfId="4" applyFont="1" applyFill="1" applyBorder="1" applyAlignment="1" applyProtection="1">
      <alignment horizontal="center" vertical="center" wrapText="1"/>
      <protection locked="0"/>
    </xf>
    <xf numFmtId="0" fontId="80" fillId="3" borderId="11" xfId="4" applyFont="1" applyFill="1" applyBorder="1" applyAlignment="1" applyProtection="1">
      <alignment horizontal="left" vertical="center" wrapText="1" indent="4"/>
    </xf>
    <xf numFmtId="0" fontId="81" fillId="3" borderId="4" xfId="4" applyFont="1" applyFill="1" applyBorder="1" applyAlignment="1" applyProtection="1">
      <alignment horizontal="left" vertical="center" wrapText="1" indent="4"/>
    </xf>
    <xf numFmtId="165" fontId="65" fillId="3" borderId="0" xfId="4" applyNumberFormat="1" applyFont="1" applyFill="1" applyBorder="1" applyAlignment="1" applyProtection="1">
      <alignment horizontal="center" vertical="center" wrapText="1"/>
    </xf>
    <xf numFmtId="165" fontId="65" fillId="3" borderId="4" xfId="4" applyNumberFormat="1" applyFont="1" applyFill="1" applyBorder="1" applyAlignment="1" applyProtection="1">
      <alignment horizontal="center" vertical="center" wrapText="1"/>
    </xf>
    <xf numFmtId="165" fontId="65" fillId="3" borderId="7" xfId="4" applyNumberFormat="1" applyFont="1" applyFill="1" applyBorder="1" applyAlignment="1" applyProtection="1">
      <alignment horizontal="center" vertical="center" wrapText="1"/>
    </xf>
    <xf numFmtId="165" fontId="65" fillId="3" borderId="5" xfId="4" applyNumberFormat="1" applyFont="1" applyFill="1" applyBorder="1" applyAlignment="1" applyProtection="1">
      <alignment horizontal="center" vertical="center" wrapText="1"/>
    </xf>
    <xf numFmtId="0" fontId="20" fillId="3" borderId="0" xfId="4" applyFont="1" applyFill="1" applyProtection="1">
      <protection locked="0"/>
    </xf>
    <xf numFmtId="0" fontId="82" fillId="3" borderId="11" xfId="4" applyFont="1" applyFill="1" applyBorder="1" applyAlignment="1" applyProtection="1">
      <alignment horizontal="left" vertical="center" wrapText="1" indent="6"/>
    </xf>
    <xf numFmtId="0" fontId="83" fillId="3" borderId="4" xfId="4" applyFont="1" applyFill="1" applyBorder="1" applyAlignment="1" applyProtection="1">
      <alignment horizontal="left" vertical="center" wrapText="1" indent="6"/>
    </xf>
    <xf numFmtId="0" fontId="82" fillId="3" borderId="11" xfId="4" applyFont="1" applyFill="1" applyBorder="1" applyAlignment="1" applyProtection="1">
      <alignment horizontal="left" vertical="center" wrapText="1" indent="7"/>
    </xf>
    <xf numFmtId="0" fontId="83" fillId="3" borderId="4" xfId="4" applyFont="1" applyFill="1" applyBorder="1" applyAlignment="1" applyProtection="1">
      <alignment horizontal="left" vertical="center" wrapText="1" indent="7"/>
    </xf>
    <xf numFmtId="165" fontId="79" fillId="3" borderId="11" xfId="4" applyNumberFormat="1" applyFont="1" applyFill="1" applyBorder="1" applyAlignment="1" applyProtection="1">
      <alignment horizontal="center" vertical="center" wrapText="1"/>
    </xf>
    <xf numFmtId="165" fontId="79" fillId="3" borderId="4" xfId="4" applyNumberFormat="1" applyFont="1" applyFill="1" applyBorder="1" applyAlignment="1" applyProtection="1">
      <alignment horizontal="center" vertical="center" wrapText="1"/>
    </xf>
    <xf numFmtId="165" fontId="79" fillId="3" borderId="7" xfId="4" applyNumberFormat="1" applyFont="1" applyFill="1" applyBorder="1" applyAlignment="1" applyProtection="1">
      <alignment horizontal="center" vertical="center" wrapText="1"/>
    </xf>
    <xf numFmtId="165" fontId="79" fillId="3" borderId="5" xfId="4" applyNumberFormat="1" applyFont="1" applyFill="1" applyBorder="1" applyAlignment="1" applyProtection="1">
      <alignment horizontal="center" vertical="center" wrapText="1"/>
    </xf>
    <xf numFmtId="0" fontId="82" fillId="3" borderId="11" xfId="4" applyFont="1" applyFill="1" applyBorder="1" applyAlignment="1" applyProtection="1">
      <alignment horizontal="left" vertical="center" wrapText="1" indent="8"/>
    </xf>
    <xf numFmtId="0" fontId="83" fillId="3" borderId="4" xfId="4" applyFont="1" applyFill="1" applyBorder="1" applyAlignment="1" applyProtection="1">
      <alignment horizontal="left" vertical="center" wrapText="1" indent="8"/>
    </xf>
    <xf numFmtId="0" fontId="82" fillId="3" borderId="11" xfId="4" applyFont="1" applyFill="1" applyBorder="1" applyAlignment="1" applyProtection="1">
      <alignment horizontal="left" vertical="center" wrapText="1" indent="10"/>
      <protection locked="0"/>
    </xf>
    <xf numFmtId="0" fontId="83" fillId="3" borderId="4" xfId="4" applyFont="1" applyFill="1" applyBorder="1" applyAlignment="1" applyProtection="1">
      <alignment horizontal="left" vertical="center" wrapText="1" indent="10"/>
    </xf>
    <xf numFmtId="49" fontId="55" fillId="3" borderId="4" xfId="4" applyNumberFormat="1" applyFont="1" applyFill="1" applyBorder="1" applyAlignment="1" applyProtection="1">
      <alignment horizontal="center" vertical="center" wrapText="1"/>
    </xf>
    <xf numFmtId="165" fontId="67" fillId="3" borderId="4" xfId="4" applyNumberFormat="1" applyFont="1" applyFill="1" applyBorder="1" applyAlignment="1" applyProtection="1">
      <alignment horizontal="center" vertical="center" wrapText="1"/>
      <protection locked="0"/>
    </xf>
    <xf numFmtId="165" fontId="67" fillId="3" borderId="7" xfId="4" applyNumberFormat="1" applyFont="1" applyFill="1" applyBorder="1" applyAlignment="1" applyProtection="1">
      <alignment horizontal="center" vertical="center" wrapText="1"/>
      <protection locked="0"/>
    </xf>
    <xf numFmtId="49" fontId="55" fillId="3" borderId="5" xfId="4" applyNumberFormat="1" applyFont="1" applyFill="1" applyBorder="1" applyAlignment="1" applyProtection="1">
      <alignment horizontal="center" vertical="center" wrapText="1"/>
    </xf>
    <xf numFmtId="165" fontId="67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82" fillId="3" borderId="11" xfId="4" applyFont="1" applyFill="1" applyBorder="1" applyAlignment="1" applyProtection="1">
      <alignment horizontal="left" vertical="center" wrapText="1" indent="8"/>
      <protection locked="0"/>
    </xf>
    <xf numFmtId="0" fontId="82" fillId="3" borderId="11" xfId="4" applyFont="1" applyFill="1" applyBorder="1" applyAlignment="1" applyProtection="1">
      <alignment horizontal="left" vertical="center" wrapText="1" indent="7"/>
      <protection locked="0"/>
    </xf>
    <xf numFmtId="0" fontId="82" fillId="3" borderId="11" xfId="4" applyFont="1" applyFill="1" applyBorder="1" applyAlignment="1" applyProtection="1">
      <alignment horizontal="left" vertical="center" wrapText="1" indent="6"/>
      <protection locked="0"/>
    </xf>
    <xf numFmtId="0" fontId="82" fillId="3" borderId="11" xfId="4" applyFont="1" applyFill="1" applyBorder="1" applyAlignment="1" applyProtection="1">
      <alignment horizontal="left" vertical="center" wrapText="1" indent="9"/>
    </xf>
    <xf numFmtId="0" fontId="83" fillId="3" borderId="4" xfId="4" applyFont="1" applyFill="1" applyBorder="1" applyAlignment="1" applyProtection="1">
      <alignment horizontal="left" vertical="center" wrapText="1" indent="9"/>
    </xf>
    <xf numFmtId="0" fontId="82" fillId="3" borderId="11" xfId="4" applyFont="1" applyFill="1" applyBorder="1" applyAlignment="1" applyProtection="1">
      <alignment horizontal="left" vertical="center" wrapText="1" indent="4"/>
    </xf>
    <xf numFmtId="0" fontId="83" fillId="3" borderId="4" xfId="4" applyFont="1" applyFill="1" applyBorder="1" applyAlignment="1" applyProtection="1">
      <alignment horizontal="left" vertical="center" wrapText="1" indent="4"/>
    </xf>
    <xf numFmtId="0" fontId="82" fillId="3" borderId="11" xfId="4" applyFont="1" applyFill="1" applyBorder="1" applyAlignment="1" applyProtection="1">
      <alignment horizontal="left" vertical="center" wrapText="1" indent="5"/>
    </xf>
    <xf numFmtId="0" fontId="83" fillId="3" borderId="4" xfId="4" applyFont="1" applyFill="1" applyBorder="1" applyAlignment="1" applyProtection="1">
      <alignment horizontal="left" vertical="center" wrapText="1" indent="5"/>
    </xf>
    <xf numFmtId="0" fontId="82" fillId="3" borderId="11" xfId="4" applyFont="1" applyFill="1" applyBorder="1" applyAlignment="1" applyProtection="1">
      <alignment horizontal="left" vertical="center" wrapText="1" indent="9"/>
      <protection locked="0"/>
    </xf>
    <xf numFmtId="0" fontId="82" fillId="3" borderId="11" xfId="4" applyFont="1" applyFill="1" applyBorder="1" applyAlignment="1" applyProtection="1">
      <alignment horizontal="left" vertical="center" wrapText="1" indent="11"/>
      <protection locked="0"/>
    </xf>
    <xf numFmtId="0" fontId="83" fillId="3" borderId="4" xfId="4" applyFont="1" applyFill="1" applyBorder="1" applyAlignment="1" applyProtection="1">
      <alignment horizontal="left" vertical="center" wrapText="1" indent="11"/>
    </xf>
    <xf numFmtId="0" fontId="82" fillId="3" borderId="11" xfId="4" applyFont="1" applyFill="1" applyBorder="1" applyAlignment="1" applyProtection="1">
      <alignment horizontal="left" vertical="center" wrapText="1" indent="5"/>
      <protection locked="0"/>
    </xf>
    <xf numFmtId="0" fontId="82" fillId="3" borderId="16" xfId="4" applyFont="1" applyFill="1" applyBorder="1" applyAlignment="1" applyProtection="1">
      <alignment horizontal="left" vertical="center" wrapText="1" indent="7"/>
      <protection locked="0"/>
    </xf>
    <xf numFmtId="0" fontId="83" fillId="3" borderId="17" xfId="4" applyFont="1" applyFill="1" applyBorder="1" applyAlignment="1" applyProtection="1">
      <alignment horizontal="left" vertical="center" wrapText="1" indent="7"/>
    </xf>
    <xf numFmtId="165" fontId="67" fillId="3" borderId="3" xfId="4" applyNumberFormat="1" applyFont="1" applyFill="1" applyBorder="1" applyAlignment="1" applyProtection="1">
      <alignment horizontal="center" vertical="center" wrapText="1"/>
      <protection locked="0"/>
    </xf>
    <xf numFmtId="165" fontId="67" fillId="3" borderId="22" xfId="4" applyNumberFormat="1" applyFont="1" applyFill="1" applyBorder="1" applyAlignment="1" applyProtection="1">
      <alignment horizontal="center" vertical="center" wrapText="1"/>
      <protection locked="0"/>
    </xf>
    <xf numFmtId="49" fontId="55" fillId="3" borderId="19" xfId="4" applyNumberFormat="1" applyFont="1" applyFill="1" applyBorder="1" applyAlignment="1" applyProtection="1">
      <alignment horizontal="center" vertical="center" wrapText="1"/>
    </xf>
    <xf numFmtId="165" fontId="67" fillId="3" borderId="19" xfId="4" applyNumberFormat="1" applyFont="1" applyFill="1" applyBorder="1" applyAlignment="1" applyProtection="1">
      <alignment horizontal="center" vertical="center" wrapText="1"/>
      <protection locked="0"/>
    </xf>
    <xf numFmtId="165" fontId="79" fillId="3" borderId="19" xfId="4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4" applyFont="1" applyFill="1" applyBorder="1" applyAlignment="1" applyProtection="1">
      <alignment horizontal="center" vertical="center"/>
      <protection locked="0"/>
    </xf>
    <xf numFmtId="0" fontId="22" fillId="3" borderId="0" xfId="4" applyFont="1" applyFill="1" applyBorder="1" applyAlignment="1" applyProtection="1">
      <alignment horizontal="left" vertical="center" wrapText="1" indent="1"/>
    </xf>
    <xf numFmtId="0" fontId="16" fillId="3" borderId="0" xfId="4" applyFont="1" applyFill="1" applyBorder="1" applyAlignment="1" applyProtection="1">
      <alignment horizontal="center" vertical="center"/>
      <protection locked="0"/>
    </xf>
    <xf numFmtId="0" fontId="13" fillId="3" borderId="0" xfId="4" applyFill="1"/>
    <xf numFmtId="0" fontId="58" fillId="3" borderId="0" xfId="4" applyFont="1" applyFill="1" applyAlignment="1">
      <alignment horizontal="center"/>
    </xf>
    <xf numFmtId="0" fontId="59" fillId="3" borderId="0" xfId="4" applyFont="1" applyFill="1" applyAlignment="1">
      <alignment horizontal="right"/>
    </xf>
    <xf numFmtId="0" fontId="60" fillId="5" borderId="2" xfId="4" applyFont="1" applyFill="1" applyBorder="1" applyAlignment="1">
      <alignment horizontal="center" vertical="center" wrapText="1"/>
    </xf>
    <xf numFmtId="0" fontId="60" fillId="7" borderId="2" xfId="4" applyFont="1" applyFill="1" applyBorder="1" applyAlignment="1">
      <alignment horizontal="center" vertical="center" wrapText="1"/>
    </xf>
    <xf numFmtId="0" fontId="60" fillId="5" borderId="30" xfId="4" applyFont="1" applyFill="1" applyBorder="1" applyAlignment="1">
      <alignment horizontal="center" vertical="center" wrapText="1"/>
    </xf>
    <xf numFmtId="0" fontId="58" fillId="3" borderId="29" xfId="4" applyFont="1" applyFill="1" applyBorder="1" applyAlignment="1">
      <alignment horizontal="left" vertical="center" wrapText="1"/>
    </xf>
    <xf numFmtId="0" fontId="61" fillId="3" borderId="2" xfId="4" applyFont="1" applyFill="1" applyBorder="1" applyAlignment="1">
      <alignment horizontal="center" vertical="center"/>
    </xf>
    <xf numFmtId="0" fontId="61" fillId="3" borderId="30" xfId="4" applyFont="1" applyFill="1" applyBorder="1" applyAlignment="1">
      <alignment horizontal="center" vertical="center"/>
    </xf>
    <xf numFmtId="0" fontId="58" fillId="3" borderId="31" xfId="4" applyFont="1" applyFill="1" applyBorder="1" applyAlignment="1">
      <alignment horizontal="left" vertical="center" wrapText="1"/>
    </xf>
    <xf numFmtId="0" fontId="61" fillId="3" borderId="32" xfId="4" applyFont="1" applyFill="1" applyBorder="1" applyAlignment="1">
      <alignment horizontal="center" vertical="center"/>
    </xf>
    <xf numFmtId="0" fontId="57" fillId="3" borderId="33" xfId="4" applyFont="1" applyFill="1" applyBorder="1" applyAlignment="1">
      <alignment horizontal="left" vertical="center" wrapText="1"/>
    </xf>
    <xf numFmtId="0" fontId="57" fillId="3" borderId="34" xfId="4" applyFont="1" applyFill="1" applyBorder="1"/>
    <xf numFmtId="0" fontId="62" fillId="3" borderId="34" xfId="4" applyFont="1" applyFill="1" applyBorder="1" applyAlignment="1">
      <alignment horizontal="center" vertical="center"/>
    </xf>
    <xf numFmtId="0" fontId="57" fillId="3" borderId="34" xfId="4" applyFont="1" applyFill="1" applyBorder="1" applyAlignment="1">
      <alignment horizontal="center"/>
    </xf>
    <xf numFmtId="0" fontId="62" fillId="3" borderId="35" xfId="4" applyFont="1" applyFill="1" applyBorder="1" applyAlignment="1">
      <alignment horizontal="center" vertical="center"/>
    </xf>
    <xf numFmtId="0" fontId="13" fillId="3" borderId="36" xfId="4" applyFill="1" applyBorder="1"/>
    <xf numFmtId="165" fontId="84" fillId="0" borderId="5" xfId="4" applyNumberFormat="1" applyFont="1" applyFill="1" applyBorder="1" applyAlignment="1">
      <alignment horizontal="center" vertical="center" wrapText="1"/>
    </xf>
    <xf numFmtId="4" fontId="84" fillId="0" borderId="5" xfId="4" applyNumberFormat="1" applyFont="1" applyFill="1" applyBorder="1" applyAlignment="1">
      <alignment horizontal="center" vertical="center" wrapText="1"/>
    </xf>
    <xf numFmtId="165" fontId="85" fillId="0" borderId="5" xfId="4" applyNumberFormat="1" applyFont="1" applyFill="1" applyBorder="1" applyAlignment="1">
      <alignment horizontal="center" vertical="center" wrapText="1"/>
    </xf>
    <xf numFmtId="165" fontId="86" fillId="0" borderId="5" xfId="4" applyNumberFormat="1" applyFont="1" applyFill="1" applyBorder="1" applyAlignment="1">
      <alignment horizontal="center" vertical="center" wrapText="1"/>
    </xf>
    <xf numFmtId="4" fontId="86" fillId="0" borderId="5" xfId="4" applyNumberFormat="1" applyFont="1" applyFill="1" applyBorder="1" applyAlignment="1">
      <alignment horizontal="center" vertical="center" wrapText="1"/>
    </xf>
    <xf numFmtId="165" fontId="87" fillId="0" borderId="5" xfId="4" applyNumberFormat="1" applyFont="1" applyFill="1" applyBorder="1" applyAlignment="1">
      <alignment horizontal="center" vertical="center" wrapText="1"/>
    </xf>
    <xf numFmtId="0" fontId="88" fillId="3" borderId="2" xfId="0" applyFont="1" applyFill="1" applyBorder="1" applyAlignment="1" applyProtection="1">
      <alignment horizontal="left" vertical="center" wrapText="1" indent="3"/>
      <protection locked="0"/>
    </xf>
    <xf numFmtId="0" fontId="89" fillId="0" borderId="0" xfId="4" applyFont="1" applyAlignment="1">
      <alignment horizontal="center" vertical="center"/>
    </xf>
    <xf numFmtId="0" fontId="90" fillId="3" borderId="2" xfId="0" applyFont="1" applyFill="1" applyBorder="1" applyAlignment="1" applyProtection="1">
      <alignment horizontal="left" vertical="center" wrapText="1" indent="3"/>
      <protection locked="0"/>
    </xf>
    <xf numFmtId="4" fontId="61" fillId="3" borderId="2" xfId="4" applyNumberFormat="1" applyFont="1" applyFill="1" applyBorder="1" applyAlignment="1">
      <alignment horizontal="center" vertical="center"/>
    </xf>
    <xf numFmtId="0" fontId="58" fillId="3" borderId="29" xfId="4" applyFont="1" applyFill="1" applyBorder="1" applyAlignment="1">
      <alignment horizontal="center" vertical="center" wrapText="1"/>
    </xf>
    <xf numFmtId="0" fontId="61" fillId="0" borderId="2" xfId="4" applyFont="1" applyBorder="1" applyAlignment="1">
      <alignment horizontal="center" vertical="center"/>
    </xf>
    <xf numFmtId="0" fontId="61" fillId="0" borderId="2" xfId="4" applyFont="1" applyFill="1" applyBorder="1" applyAlignment="1">
      <alignment horizontal="center" vertical="center"/>
    </xf>
    <xf numFmtId="43" fontId="61" fillId="3" borderId="2" xfId="1" applyFont="1" applyFill="1" applyBorder="1" applyAlignment="1">
      <alignment horizontal="right" vertical="center"/>
    </xf>
    <xf numFmtId="43" fontId="13" fillId="3" borderId="0" xfId="4" applyNumberFormat="1" applyFill="1"/>
    <xf numFmtId="164" fontId="61" fillId="3" borderId="2" xfId="4" applyNumberFormat="1" applyFont="1" applyFill="1" applyBorder="1" applyAlignment="1">
      <alignment horizontal="right"/>
    </xf>
    <xf numFmtId="2" fontId="20" fillId="4" borderId="2" xfId="4" applyNumberFormat="1" applyFont="1" applyFill="1" applyBorder="1" applyAlignment="1">
      <alignment horizontal="center" vertical="center" wrapText="1"/>
    </xf>
    <xf numFmtId="165" fontId="71" fillId="5" borderId="2" xfId="0" applyNumberFormat="1" applyFont="1" applyFill="1" applyBorder="1" applyAlignment="1" applyProtection="1">
      <alignment horizontal="center" vertical="center" wrapText="1"/>
    </xf>
    <xf numFmtId="165" fontId="71" fillId="3" borderId="2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98" fillId="3" borderId="0" xfId="0" applyFont="1" applyFill="1" applyAlignment="1">
      <alignment horizontal="right"/>
    </xf>
    <xf numFmtId="0" fontId="99" fillId="3" borderId="0" xfId="0" applyFont="1" applyFill="1" applyAlignment="1">
      <alignment horizontal="center"/>
    </xf>
    <xf numFmtId="0" fontId="100" fillId="3" borderId="41" xfId="0" applyFont="1" applyFill="1" applyBorder="1" applyAlignment="1">
      <alignment horizontal="center" vertical="top"/>
    </xf>
    <xf numFmtId="0" fontId="102" fillId="3" borderId="0" xfId="0" applyFont="1" applyFill="1" applyAlignment="1">
      <alignment horizontal="right"/>
    </xf>
    <xf numFmtId="0" fontId="4" fillId="3" borderId="36" xfId="0" applyFont="1" applyFill="1" applyBorder="1" applyAlignment="1">
      <alignment horizontal="center" vertical="center" wrapText="1"/>
    </xf>
    <xf numFmtId="0" fontId="107" fillId="3" borderId="36" xfId="0" applyFont="1" applyFill="1" applyBorder="1" applyAlignment="1">
      <alignment horizontal="left" vertical="center" wrapText="1"/>
    </xf>
    <xf numFmtId="165" fontId="104" fillId="3" borderId="36" xfId="0" applyNumberFormat="1" applyFont="1" applyFill="1" applyBorder="1" applyAlignment="1">
      <alignment vertical="center" wrapText="1"/>
    </xf>
    <xf numFmtId="0" fontId="0" fillId="3" borderId="36" xfId="0" applyFill="1" applyBorder="1"/>
    <xf numFmtId="165" fontId="0" fillId="3" borderId="36" xfId="0" applyNumberFormat="1" applyFill="1" applyBorder="1"/>
    <xf numFmtId="0" fontId="108" fillId="3" borderId="36" xfId="0" applyFont="1" applyFill="1" applyBorder="1" applyAlignment="1">
      <alignment vertical="center" wrapText="1"/>
    </xf>
    <xf numFmtId="165" fontId="104" fillId="3" borderId="3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65" fontId="104" fillId="3" borderId="42" xfId="0" applyNumberFormat="1" applyFont="1" applyFill="1" applyBorder="1" applyAlignment="1">
      <alignment vertical="center" wrapText="1"/>
    </xf>
    <xf numFmtId="0" fontId="55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55" fillId="3" borderId="0" xfId="0" applyFont="1" applyFill="1" applyBorder="1" applyAlignment="1">
      <alignment vertical="center" wrapText="1"/>
    </xf>
    <xf numFmtId="0" fontId="21" fillId="3" borderId="2" xfId="6" applyFont="1" applyFill="1" applyBorder="1" applyAlignment="1">
      <alignment horizontal="left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0" fontId="44" fillId="3" borderId="2" xfId="0" applyNumberFormat="1" applyFont="1" applyFill="1" applyBorder="1" applyAlignment="1">
      <alignment horizontal="left" vertical="center" wrapText="1" readingOrder="1"/>
    </xf>
    <xf numFmtId="3" fontId="111" fillId="3" borderId="19" xfId="0" applyNumberFormat="1" applyFont="1" applyFill="1" applyBorder="1" applyAlignment="1">
      <alignment horizontal="center" vertical="center"/>
    </xf>
    <xf numFmtId="3" fontId="112" fillId="3" borderId="19" xfId="0" applyNumberFormat="1" applyFont="1" applyFill="1" applyBorder="1" applyAlignment="1">
      <alignment horizontal="center" vertical="center"/>
    </xf>
    <xf numFmtId="0" fontId="113" fillId="3" borderId="2" xfId="7" applyFont="1" applyFill="1" applyBorder="1" applyAlignment="1">
      <alignment horizontal="left" vertical="center" wrapText="1"/>
    </xf>
    <xf numFmtId="3" fontId="114" fillId="3" borderId="19" xfId="0" applyNumberFormat="1" applyFont="1" applyFill="1" applyBorder="1" applyAlignment="1">
      <alignment horizontal="center" vertical="center"/>
    </xf>
    <xf numFmtId="3" fontId="115" fillId="3" borderId="19" xfId="0" applyNumberFormat="1" applyFont="1" applyFill="1" applyBorder="1" applyAlignment="1">
      <alignment horizontal="center" vertical="center"/>
    </xf>
    <xf numFmtId="3" fontId="111" fillId="3" borderId="2" xfId="0" applyNumberFormat="1" applyFont="1" applyFill="1" applyBorder="1" applyAlignment="1">
      <alignment horizontal="center" vertical="center"/>
    </xf>
    <xf numFmtId="3" fontId="112" fillId="3" borderId="2" xfId="0" applyNumberFormat="1" applyFont="1" applyFill="1" applyBorder="1" applyAlignment="1">
      <alignment horizontal="center" vertical="center"/>
    </xf>
    <xf numFmtId="4" fontId="116" fillId="3" borderId="2" xfId="0" applyNumberFormat="1" applyFont="1" applyFill="1" applyBorder="1" applyAlignment="1">
      <alignment horizontal="center" vertical="center"/>
    </xf>
    <xf numFmtId="4" fontId="94" fillId="3" borderId="2" xfId="7" applyNumberFormat="1" applyFont="1" applyFill="1" applyBorder="1" applyAlignment="1" applyProtection="1">
      <alignment horizontal="center" vertical="center" wrapText="1"/>
    </xf>
    <xf numFmtId="4" fontId="112" fillId="3" borderId="2" xfId="0" applyNumberFormat="1" applyFont="1" applyFill="1" applyBorder="1" applyAlignment="1">
      <alignment horizontal="center" vertical="center"/>
    </xf>
    <xf numFmtId="0" fontId="113" fillId="3" borderId="2" xfId="7" applyFont="1" applyFill="1" applyBorder="1" applyAlignment="1">
      <alignment horizontal="left" vertical="top" wrapText="1"/>
    </xf>
    <xf numFmtId="0" fontId="119" fillId="3" borderId="2" xfId="7" applyFont="1" applyFill="1" applyBorder="1" applyAlignment="1">
      <alignment horizontal="left" vertical="center" wrapText="1"/>
    </xf>
    <xf numFmtId="0" fontId="120" fillId="3" borderId="2" xfId="7" applyFont="1" applyFill="1" applyBorder="1" applyAlignment="1">
      <alignment horizontal="left" vertical="center" wrapText="1"/>
    </xf>
    <xf numFmtId="4" fontId="121" fillId="3" borderId="2" xfId="0" applyNumberFormat="1" applyFont="1" applyFill="1" applyBorder="1" applyAlignment="1">
      <alignment horizontal="center" vertical="center"/>
    </xf>
    <xf numFmtId="0" fontId="113" fillId="3" borderId="2" xfId="7" applyFont="1" applyFill="1" applyBorder="1" applyAlignment="1">
      <alignment vertical="top" wrapText="1"/>
    </xf>
    <xf numFmtId="0" fontId="63" fillId="0" borderId="0" xfId="5" applyFont="1" applyFill="1" applyAlignment="1">
      <alignment horizontal="right" vertical="center" wrapText="1"/>
    </xf>
    <xf numFmtId="0" fontId="17" fillId="0" borderId="0" xfId="5" applyFont="1" applyFill="1" applyAlignment="1">
      <alignment horizontal="center" vertical="center" wrapText="1"/>
    </xf>
    <xf numFmtId="0" fontId="58" fillId="0" borderId="2" xfId="0" applyFont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09" fillId="3" borderId="42" xfId="0" applyFont="1" applyFill="1" applyBorder="1" applyAlignment="1">
      <alignment horizontal="center"/>
    </xf>
    <xf numFmtId="0" fontId="109" fillId="3" borderId="43" xfId="0" applyFont="1" applyFill="1" applyBorder="1" applyAlignment="1">
      <alignment horizontal="center"/>
    </xf>
    <xf numFmtId="0" fontId="109" fillId="3" borderId="45" xfId="0" applyFont="1" applyFill="1" applyBorder="1" applyAlignment="1">
      <alignment horizontal="center"/>
    </xf>
    <xf numFmtId="0" fontId="104" fillId="3" borderId="44" xfId="0" applyFont="1" applyFill="1" applyBorder="1" applyAlignment="1">
      <alignment horizontal="center" vertical="center" wrapText="1"/>
    </xf>
    <xf numFmtId="0" fontId="104" fillId="3" borderId="46" xfId="0" applyFont="1" applyFill="1" applyBorder="1" applyAlignment="1">
      <alignment horizontal="center" vertical="center" wrapText="1"/>
    </xf>
    <xf numFmtId="0" fontId="110" fillId="3" borderId="44" xfId="0" applyFont="1" applyFill="1" applyBorder="1" applyAlignment="1">
      <alignment horizontal="center" vertical="center" wrapText="1"/>
    </xf>
    <xf numFmtId="0" fontId="110" fillId="3" borderId="4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01" fillId="3" borderId="0" xfId="0" applyFont="1" applyFill="1" applyBorder="1" applyAlignment="1">
      <alignment horizontal="center" vertical="center"/>
    </xf>
    <xf numFmtId="0" fontId="103" fillId="3" borderId="42" xfId="0" applyFont="1" applyFill="1" applyBorder="1" applyAlignment="1">
      <alignment horizontal="center" vertical="center"/>
    </xf>
    <xf numFmtId="0" fontId="103" fillId="3" borderId="43" xfId="0" applyFont="1" applyFill="1" applyBorder="1" applyAlignment="1">
      <alignment horizontal="center" vertical="center"/>
    </xf>
    <xf numFmtId="0" fontId="105" fillId="3" borderId="42" xfId="0" applyFont="1" applyFill="1" applyBorder="1" applyAlignment="1">
      <alignment horizontal="center" vertical="center"/>
    </xf>
    <xf numFmtId="0" fontId="105" fillId="3" borderId="43" xfId="0" applyFont="1" applyFill="1" applyBorder="1" applyAlignment="1">
      <alignment horizontal="center" vertical="center"/>
    </xf>
    <xf numFmtId="0" fontId="105" fillId="3" borderId="45" xfId="0" applyFont="1" applyFill="1" applyBorder="1" applyAlignment="1">
      <alignment horizontal="center" vertical="center"/>
    </xf>
    <xf numFmtId="0" fontId="103" fillId="3" borderId="45" xfId="0" applyFont="1" applyFill="1" applyBorder="1" applyAlignment="1">
      <alignment horizontal="center" vertical="center"/>
    </xf>
    <xf numFmtId="0" fontId="106" fillId="3" borderId="44" xfId="0" applyFont="1" applyFill="1" applyBorder="1" applyAlignment="1">
      <alignment horizontal="center" vertical="center" wrapText="1"/>
    </xf>
    <xf numFmtId="0" fontId="106" fillId="3" borderId="46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91" fillId="3" borderId="19" xfId="0" applyFont="1" applyFill="1" applyBorder="1" applyAlignment="1">
      <alignment horizontal="center" vertical="center" wrapText="1"/>
    </xf>
    <xf numFmtId="0" fontId="123" fillId="3" borderId="0" xfId="0" applyFont="1" applyFill="1"/>
    <xf numFmtId="0" fontId="124" fillId="3" borderId="2" xfId="0" applyFont="1" applyFill="1" applyBorder="1" applyAlignment="1">
      <alignment horizontal="center" vertical="center" wrapText="1"/>
    </xf>
    <xf numFmtId="0" fontId="123" fillId="3" borderId="2" xfId="0" applyFont="1" applyFill="1" applyBorder="1"/>
    <xf numFmtId="0" fontId="125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4" fontId="112" fillId="3" borderId="19" xfId="0" applyNumberFormat="1" applyFont="1" applyFill="1" applyBorder="1" applyAlignment="1">
      <alignment horizontal="center" vertical="center"/>
    </xf>
    <xf numFmtId="4" fontId="111" fillId="3" borderId="19" xfId="0" applyNumberFormat="1" applyFont="1" applyFill="1" applyBorder="1" applyAlignment="1">
      <alignment horizontal="center" vertical="center"/>
    </xf>
    <xf numFmtId="4" fontId="111" fillId="3" borderId="2" xfId="0" applyNumberFormat="1" applyFont="1" applyFill="1" applyBorder="1" applyAlignment="1">
      <alignment horizontal="center" vertical="center"/>
    </xf>
    <xf numFmtId="4" fontId="112" fillId="3" borderId="2" xfId="0" applyNumberFormat="1" applyFont="1" applyFill="1" applyBorder="1"/>
    <xf numFmtId="0" fontId="112" fillId="3" borderId="0" xfId="0" applyFont="1" applyFill="1"/>
    <xf numFmtId="0" fontId="112" fillId="3" borderId="2" xfId="0" applyFont="1" applyFill="1" applyBorder="1" applyAlignment="1">
      <alignment horizontal="center" vertical="center" wrapText="1"/>
    </xf>
    <xf numFmtId="4" fontId="126" fillId="3" borderId="2" xfId="7" applyNumberFormat="1" applyFont="1" applyFill="1" applyBorder="1" applyAlignment="1" applyProtection="1">
      <alignment horizontal="center" vertical="center" wrapText="1"/>
    </xf>
    <xf numFmtId="4" fontId="115" fillId="3" borderId="19" xfId="0" applyNumberFormat="1" applyFont="1" applyFill="1" applyBorder="1" applyAlignment="1">
      <alignment horizontal="center" vertical="center"/>
    </xf>
    <xf numFmtId="4" fontId="114" fillId="3" borderId="19" xfId="0" applyNumberFormat="1" applyFont="1" applyFill="1" applyBorder="1" applyAlignment="1">
      <alignment horizontal="center" vertical="center"/>
    </xf>
    <xf numFmtId="0" fontId="127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left" vertical="top" wrapText="1"/>
    </xf>
    <xf numFmtId="0" fontId="127" fillId="3" borderId="0" xfId="0" applyFont="1" applyFill="1"/>
    <xf numFmtId="0" fontId="117" fillId="3" borderId="2" xfId="0" applyFont="1" applyFill="1" applyBorder="1" applyAlignment="1">
      <alignment horizontal="left" vertical="center" wrapText="1"/>
    </xf>
    <xf numFmtId="4" fontId="115" fillId="3" borderId="2" xfId="0" applyNumberFormat="1" applyFont="1" applyFill="1" applyBorder="1" applyAlignment="1">
      <alignment horizontal="center" vertical="center"/>
    </xf>
    <xf numFmtId="3" fontId="114" fillId="3" borderId="2" xfId="0" applyNumberFormat="1" applyFont="1" applyFill="1" applyBorder="1" applyAlignment="1">
      <alignment horizontal="center" vertical="center"/>
    </xf>
    <xf numFmtId="0" fontId="123" fillId="3" borderId="2" xfId="0" applyFont="1" applyFill="1" applyBorder="1" applyAlignment="1">
      <alignment horizontal="center" vertical="center" wrapText="1"/>
    </xf>
    <xf numFmtId="4" fontId="94" fillId="3" borderId="19" xfId="7" applyNumberFormat="1" applyFont="1" applyFill="1" applyBorder="1" applyAlignment="1" applyProtection="1">
      <alignment horizontal="center" vertical="center" wrapText="1"/>
    </xf>
    <xf numFmtId="0" fontId="129" fillId="3" borderId="0" xfId="0" applyFont="1" applyFill="1"/>
    <xf numFmtId="4" fontId="127" fillId="3" borderId="2" xfId="0" applyNumberFormat="1" applyFont="1" applyFill="1" applyBorder="1" applyAlignment="1">
      <alignment horizontal="center" vertical="center" wrapText="1"/>
    </xf>
    <xf numFmtId="4" fontId="130" fillId="3" borderId="2" xfId="7" applyNumberFormat="1" applyFont="1" applyFill="1" applyBorder="1" applyAlignment="1" applyProtection="1">
      <alignment horizontal="center" vertical="center" wrapText="1"/>
    </xf>
    <xf numFmtId="4" fontId="123" fillId="3" borderId="2" xfId="0" applyNumberFormat="1" applyFont="1" applyFill="1" applyBorder="1" applyAlignment="1">
      <alignment horizontal="center" vertical="center" wrapText="1"/>
    </xf>
    <xf numFmtId="4" fontId="122" fillId="3" borderId="2" xfId="0" applyNumberFormat="1" applyFont="1" applyFill="1" applyBorder="1" applyAlignment="1">
      <alignment horizontal="center" vertical="center"/>
    </xf>
    <xf numFmtId="0" fontId="121" fillId="3" borderId="0" xfId="0" applyFont="1" applyFill="1"/>
    <xf numFmtId="0" fontId="121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top" wrapText="1"/>
    </xf>
    <xf numFmtId="4" fontId="121" fillId="3" borderId="2" xfId="0" applyNumberFormat="1" applyFont="1" applyFill="1" applyBorder="1" applyAlignment="1">
      <alignment horizontal="center" vertical="center" wrapText="1"/>
    </xf>
    <xf numFmtId="0" fontId="125" fillId="3" borderId="2" xfId="0" applyFont="1" applyFill="1" applyBorder="1" applyAlignment="1">
      <alignment horizontal="left" vertical="center" wrapText="1"/>
    </xf>
    <xf numFmtId="0" fontId="131" fillId="3" borderId="2" xfId="0" applyFont="1" applyFill="1" applyBorder="1" applyAlignment="1">
      <alignment horizontal="left" vertical="center" wrapText="1"/>
    </xf>
    <xf numFmtId="49" fontId="121" fillId="3" borderId="2" xfId="0" applyNumberFormat="1" applyFont="1" applyFill="1" applyBorder="1" applyAlignment="1">
      <alignment horizontal="center" vertical="center"/>
    </xf>
    <xf numFmtId="0" fontId="123" fillId="3" borderId="2" xfId="0" applyFont="1" applyFill="1" applyBorder="1" applyAlignment="1">
      <alignment horizontal="center" vertical="center"/>
    </xf>
    <xf numFmtId="43" fontId="112" fillId="3" borderId="2" xfId="1" applyFont="1" applyFill="1" applyBorder="1" applyAlignment="1">
      <alignment horizontal="center" vertical="center"/>
    </xf>
    <xf numFmtId="49" fontId="123" fillId="3" borderId="0" xfId="0" applyNumberFormat="1" applyFont="1" applyFill="1" applyAlignment="1">
      <alignment horizontal="center" vertical="center"/>
    </xf>
    <xf numFmtId="0" fontId="123" fillId="3" borderId="0" xfId="0" applyFont="1" applyFill="1" applyAlignment="1">
      <alignment vertical="center"/>
    </xf>
    <xf numFmtId="0" fontId="123" fillId="3" borderId="0" xfId="0" applyFont="1" applyFill="1" applyAlignment="1">
      <alignment horizontal="center" vertical="center"/>
    </xf>
    <xf numFmtId="0" fontId="123" fillId="3" borderId="0" xfId="0" applyFont="1" applyFill="1" applyBorder="1"/>
    <xf numFmtId="4" fontId="116" fillId="3" borderId="0" xfId="0" applyNumberFormat="1" applyFont="1" applyFill="1" applyBorder="1" applyAlignment="1">
      <alignment horizontal="center" vertical="center"/>
    </xf>
    <xf numFmtId="4" fontId="95" fillId="3" borderId="0" xfId="0" applyNumberFormat="1" applyFont="1" applyFill="1" applyBorder="1" applyAlignment="1">
      <alignment horizontal="center" vertical="center"/>
    </xf>
    <xf numFmtId="43" fontId="123" fillId="3" borderId="0" xfId="1" applyFont="1" applyFill="1"/>
    <xf numFmtId="3" fontId="123" fillId="3" borderId="0" xfId="0" applyNumberFormat="1" applyFont="1" applyFill="1"/>
    <xf numFmtId="0" fontId="55" fillId="3" borderId="0" xfId="0" applyFont="1" applyFill="1" applyAlignment="1">
      <alignment horizontal="right" vertical="center" wrapText="1"/>
    </xf>
    <xf numFmtId="0" fontId="21" fillId="3" borderId="0" xfId="3" applyFont="1" applyFill="1" applyAlignment="1">
      <alignment horizontal="center" vertical="center" wrapText="1"/>
    </xf>
    <xf numFmtId="0" fontId="21" fillId="3" borderId="0" xfId="3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55" fillId="3" borderId="0" xfId="0" applyFont="1" applyFill="1" applyBorder="1" applyAlignment="1">
      <alignment horizontal="right" vertical="center" wrapText="1"/>
    </xf>
    <xf numFmtId="0" fontId="62" fillId="3" borderId="0" xfId="0" applyFont="1" applyFill="1" applyAlignment="1">
      <alignment vertical="center" wrapText="1"/>
    </xf>
    <xf numFmtId="4" fontId="111" fillId="3" borderId="2" xfId="6" applyNumberFormat="1" applyFont="1" applyFill="1" applyBorder="1" applyAlignment="1">
      <alignment horizontal="center" vertical="center"/>
    </xf>
    <xf numFmtId="4" fontId="111" fillId="3" borderId="2" xfId="6" applyNumberFormat="1" applyFont="1" applyFill="1" applyBorder="1" applyAlignment="1">
      <alignment horizontal="right" vertical="center"/>
    </xf>
    <xf numFmtId="3" fontId="111" fillId="3" borderId="2" xfId="6" applyNumberFormat="1" applyFont="1" applyFill="1" applyBorder="1" applyAlignment="1">
      <alignment horizontal="center" vertical="center"/>
    </xf>
    <xf numFmtId="4" fontId="111" fillId="3" borderId="2" xfId="6" applyNumberFormat="1" applyFont="1" applyFill="1" applyBorder="1" applyAlignment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3" fontId="111" fillId="3" borderId="2" xfId="6" applyNumberFormat="1" applyFont="1" applyFill="1" applyBorder="1" applyAlignment="1">
      <alignment horizontal="center" vertical="center" wrapText="1"/>
    </xf>
    <xf numFmtId="1" fontId="133" fillId="3" borderId="2" xfId="0" applyNumberFormat="1" applyFont="1" applyFill="1" applyBorder="1" applyAlignment="1">
      <alignment horizontal="center" vertical="center" wrapText="1"/>
    </xf>
    <xf numFmtId="0" fontId="62" fillId="3" borderId="0" xfId="0" applyFont="1" applyFill="1"/>
    <xf numFmtId="3" fontId="22" fillId="3" borderId="2" xfId="0" applyNumberFormat="1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4" fontId="114" fillId="3" borderId="2" xfId="6" applyNumberFormat="1" applyFont="1" applyFill="1" applyBorder="1" applyAlignment="1">
      <alignment horizontal="center" vertical="center"/>
    </xf>
    <xf numFmtId="4" fontId="114" fillId="3" borderId="2" xfId="6" applyNumberFormat="1" applyFont="1" applyFill="1" applyBorder="1" applyAlignment="1">
      <alignment horizontal="right" vertical="center"/>
    </xf>
    <xf numFmtId="3" fontId="114" fillId="3" borderId="2" xfId="6" applyNumberFormat="1" applyFont="1" applyFill="1" applyBorder="1" applyAlignment="1">
      <alignment horizontal="center" vertical="center"/>
    </xf>
    <xf numFmtId="4" fontId="114" fillId="3" borderId="2" xfId="6" applyNumberFormat="1" applyFont="1" applyFill="1" applyBorder="1" applyAlignment="1">
      <alignment vertical="center"/>
    </xf>
    <xf numFmtId="3" fontId="44" fillId="3" borderId="2" xfId="0" applyNumberFormat="1" applyFont="1" applyFill="1" applyBorder="1" applyAlignment="1">
      <alignment horizontal="center" vertical="center" wrapText="1"/>
    </xf>
    <xf numFmtId="1" fontId="134" fillId="3" borderId="2" xfId="0" applyNumberFormat="1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0" xfId="0" applyFont="1" applyFill="1"/>
    <xf numFmtId="0" fontId="16" fillId="0" borderId="0" xfId="0" applyFont="1" applyFill="1"/>
    <xf numFmtId="0" fontId="135" fillId="0" borderId="2" xfId="0" applyFont="1" applyFill="1" applyBorder="1" applyAlignment="1" applyProtection="1">
      <alignment horizontal="center" vertical="center" wrapText="1"/>
      <protection locked="0"/>
    </xf>
    <xf numFmtId="0" fontId="135" fillId="0" borderId="37" xfId="0" applyFont="1" applyFill="1" applyBorder="1" applyAlignment="1" applyProtection="1">
      <alignment horizontal="center" vertical="center" wrapText="1"/>
      <protection locked="0"/>
    </xf>
    <xf numFmtId="0" fontId="65" fillId="0" borderId="19" xfId="0" applyFont="1" applyBorder="1" applyAlignment="1">
      <alignment horizontal="center" vertical="center" wrapText="1"/>
    </xf>
    <xf numFmtId="3" fontId="135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135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135" fillId="0" borderId="2" xfId="0" applyNumberFormat="1" applyFont="1" applyFill="1" applyBorder="1" applyAlignment="1" applyProtection="1">
      <alignment horizontal="center" vertical="center" wrapText="1"/>
      <protection locked="0"/>
    </xf>
    <xf numFmtId="43" fontId="135" fillId="0" borderId="37" xfId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/>
    <xf numFmtId="0" fontId="136" fillId="0" borderId="2" xfId="0" applyFont="1" applyFill="1" applyBorder="1" applyAlignment="1">
      <alignment horizontal="center" vertical="center"/>
    </xf>
    <xf numFmtId="165" fontId="121" fillId="0" borderId="2" xfId="0" applyNumberFormat="1" applyFont="1" applyFill="1" applyBorder="1" applyAlignment="1">
      <alignment horizontal="right" vertical="center"/>
    </xf>
    <xf numFmtId="165" fontId="112" fillId="0" borderId="2" xfId="0" applyNumberFormat="1" applyFont="1" applyFill="1" applyBorder="1" applyAlignment="1">
      <alignment horizontal="right" vertical="center"/>
    </xf>
    <xf numFmtId="3" fontId="121" fillId="0" borderId="2" xfId="0" applyNumberFormat="1" applyFont="1" applyFill="1" applyBorder="1" applyAlignment="1">
      <alignment horizontal="right" vertical="center"/>
    </xf>
    <xf numFmtId="0" fontId="78" fillId="0" borderId="2" xfId="0" applyFont="1" applyFill="1" applyBorder="1" applyAlignment="1" applyProtection="1">
      <alignment horizontal="center" vertical="top" wrapText="1" readingOrder="1"/>
      <protection locked="0"/>
    </xf>
    <xf numFmtId="0" fontId="137" fillId="0" borderId="2" xfId="0" applyFont="1" applyFill="1" applyBorder="1" applyAlignment="1" applyProtection="1">
      <alignment horizontal="left" vertical="center" wrapText="1" readingOrder="1"/>
      <protection locked="0"/>
    </xf>
    <xf numFmtId="3" fontId="135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78" fillId="0" borderId="0" xfId="0" applyFont="1" applyFill="1"/>
    <xf numFmtId="0" fontId="16" fillId="0" borderId="2" xfId="0" applyFont="1" applyFill="1" applyBorder="1" applyAlignment="1" applyProtection="1">
      <alignment horizontal="center" vertical="top" wrapText="1" readingOrder="1"/>
      <protection locked="0"/>
    </xf>
    <xf numFmtId="0" fontId="138" fillId="0" borderId="2" xfId="0" applyFont="1" applyFill="1" applyBorder="1" applyAlignment="1" applyProtection="1">
      <alignment horizontal="left" vertical="center" wrapText="1" readingOrder="1"/>
      <protection locked="0"/>
    </xf>
    <xf numFmtId="3" fontId="136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70" fillId="0" borderId="2" xfId="0" applyFont="1" applyFill="1" applyBorder="1" applyAlignment="1" applyProtection="1">
      <alignment vertical="top" wrapText="1" readingOrder="1"/>
      <protection locked="0"/>
    </xf>
    <xf numFmtId="0" fontId="70" fillId="0" borderId="2" xfId="0" applyFont="1" applyFill="1" applyBorder="1" applyAlignment="1" applyProtection="1">
      <alignment horizontal="left" vertical="center" wrapText="1" readingOrder="1"/>
      <protection locked="0"/>
    </xf>
    <xf numFmtId="3" fontId="135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39" fillId="9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22" fillId="9" borderId="2" xfId="0" applyFont="1" applyFill="1" applyBorder="1" applyAlignment="1" applyProtection="1">
      <alignment vertical="top" wrapText="1" readingOrder="1"/>
      <protection locked="0"/>
    </xf>
    <xf numFmtId="3" fontId="135" fillId="9" borderId="2" xfId="0" applyNumberFormat="1" applyFont="1" applyFill="1" applyBorder="1" applyAlignment="1" applyProtection="1">
      <alignment horizontal="right" vertical="center" wrapText="1"/>
      <protection locked="0"/>
    </xf>
    <xf numFmtId="0" fontId="78" fillId="9" borderId="2" xfId="0" applyFont="1" applyFill="1" applyBorder="1" applyAlignment="1" applyProtection="1">
      <alignment horizontal="center" vertical="top" wrapText="1" readingOrder="1"/>
      <protection locked="0"/>
    </xf>
    <xf numFmtId="0" fontId="138" fillId="9" borderId="2" xfId="0" applyFont="1" applyFill="1" applyBorder="1" applyAlignment="1" applyProtection="1">
      <alignment vertical="top" wrapText="1" readingOrder="1"/>
      <protection locked="0"/>
    </xf>
    <xf numFmtId="0" fontId="140" fillId="9" borderId="2" xfId="0" applyFont="1" applyFill="1" applyBorder="1" applyAlignment="1" applyProtection="1">
      <alignment horizontal="center" vertical="top" wrapText="1" readingOrder="1"/>
      <protection locked="0"/>
    </xf>
    <xf numFmtId="0" fontId="141" fillId="9" borderId="2" xfId="0" applyFont="1" applyFill="1" applyBorder="1" applyAlignment="1" applyProtection="1">
      <alignment vertical="top" wrapText="1" readingOrder="1"/>
      <protection locked="0"/>
    </xf>
    <xf numFmtId="0" fontId="139" fillId="9" borderId="2" xfId="0" applyFont="1" applyFill="1" applyBorder="1" applyAlignment="1" applyProtection="1">
      <alignment horizontal="center" vertical="top" wrapText="1" readingOrder="1"/>
      <protection locked="0"/>
    </xf>
    <xf numFmtId="0" fontId="124" fillId="9" borderId="2" xfId="0" applyFont="1" applyFill="1" applyBorder="1" applyAlignment="1" applyProtection="1">
      <alignment vertical="top" wrapText="1" readingOrder="1"/>
      <protection locked="0"/>
    </xf>
    <xf numFmtId="0" fontId="124" fillId="0" borderId="2" xfId="0" applyFont="1" applyFill="1" applyBorder="1" applyAlignment="1" applyProtection="1">
      <alignment vertical="top" wrapText="1" readingOrder="1"/>
      <protection locked="0"/>
    </xf>
    <xf numFmtId="0" fontId="140" fillId="0" borderId="2" xfId="0" applyFont="1" applyFill="1" applyBorder="1" applyAlignment="1" applyProtection="1">
      <alignment horizontal="center" vertical="top" wrapText="1" readingOrder="1"/>
      <protection locked="0"/>
    </xf>
    <xf numFmtId="0" fontId="138" fillId="0" borderId="2" xfId="0" applyFont="1" applyFill="1" applyBorder="1" applyAlignment="1" applyProtection="1">
      <alignment vertical="top" wrapText="1" readingOrder="1"/>
      <protection locked="0"/>
    </xf>
    <xf numFmtId="0" fontId="141" fillId="0" borderId="2" xfId="0" applyFont="1" applyFill="1" applyBorder="1" applyAlignment="1" applyProtection="1">
      <alignment vertical="top" wrapText="1" readingOrder="1"/>
      <protection locked="0"/>
    </xf>
    <xf numFmtId="3" fontId="13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2" xfId="0" applyNumberFormat="1" applyFont="1" applyFill="1" applyBorder="1" applyAlignment="1">
      <alignment horizontal="right" vertical="center"/>
    </xf>
    <xf numFmtId="0" fontId="139" fillId="0" borderId="2" xfId="0" applyFont="1" applyFill="1" applyBorder="1" applyAlignment="1" applyProtection="1">
      <alignment horizontal="center" vertical="top" wrapText="1" readingOrder="1"/>
      <protection locked="0"/>
    </xf>
    <xf numFmtId="0" fontId="78" fillId="10" borderId="2" xfId="0" applyFont="1" applyFill="1" applyBorder="1" applyAlignment="1" applyProtection="1">
      <alignment vertical="top" wrapText="1" readingOrder="1"/>
      <protection locked="0"/>
    </xf>
    <xf numFmtId="0" fontId="137" fillId="10" borderId="2" xfId="0" applyFont="1" applyFill="1" applyBorder="1" applyAlignment="1" applyProtection="1">
      <alignment vertical="top" wrapText="1" readingOrder="1"/>
      <protection locked="0"/>
    </xf>
    <xf numFmtId="3" fontId="135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10" borderId="2" xfId="0" applyFont="1" applyFill="1" applyBorder="1" applyAlignment="1" applyProtection="1">
      <alignment horizontal="center" vertical="top" wrapText="1" readingOrder="1"/>
      <protection locked="0"/>
    </xf>
    <xf numFmtId="0" fontId="138" fillId="10" borderId="2" xfId="0" applyFont="1" applyFill="1" applyBorder="1" applyAlignment="1" applyProtection="1">
      <alignment vertical="top" wrapText="1" readingOrder="1"/>
      <protection locked="0"/>
    </xf>
    <xf numFmtId="3" fontId="135" fillId="10" borderId="2" xfId="0" applyNumberFormat="1" applyFont="1" applyFill="1" applyBorder="1" applyAlignment="1" applyProtection="1">
      <alignment horizontal="right" vertical="center" wrapText="1"/>
      <protection locked="0"/>
    </xf>
    <xf numFmtId="3" fontId="136" fillId="10" borderId="2" xfId="0" applyNumberFormat="1" applyFont="1" applyFill="1" applyBorder="1" applyAlignment="1" applyProtection="1">
      <alignment horizontal="right" vertical="center" wrapText="1"/>
      <protection locked="0"/>
    </xf>
    <xf numFmtId="0" fontId="78" fillId="10" borderId="2" xfId="0" applyFont="1" applyFill="1" applyBorder="1" applyAlignment="1" applyProtection="1">
      <alignment horizontal="center" vertical="top" wrapText="1" readingOrder="1"/>
      <protection locked="0"/>
    </xf>
    <xf numFmtId="0" fontId="78" fillId="0" borderId="2" xfId="0" applyFont="1" applyFill="1" applyBorder="1" applyAlignment="1" applyProtection="1">
      <alignment vertical="top" wrapText="1" readingOrder="1"/>
      <protection locked="0"/>
    </xf>
    <xf numFmtId="0" fontId="137" fillId="0" borderId="2" xfId="0" applyFont="1" applyFill="1" applyBorder="1" applyAlignment="1" applyProtection="1">
      <alignment vertical="top" wrapText="1" readingOrder="1"/>
      <protection locked="0"/>
    </xf>
    <xf numFmtId="3" fontId="135" fillId="0" borderId="2" xfId="0" applyNumberFormat="1" applyFont="1" applyFill="1" applyBorder="1" applyAlignment="1">
      <alignment horizontal="right" vertical="center"/>
    </xf>
    <xf numFmtId="3" fontId="135" fillId="0" borderId="2" xfId="0" applyNumberFormat="1" applyFont="1" applyFill="1" applyBorder="1" applyAlignment="1">
      <alignment horizontal="right" vertical="center" wrapText="1"/>
    </xf>
    <xf numFmtId="3" fontId="135" fillId="0" borderId="2" xfId="7" applyNumberFormat="1" applyFont="1" applyFill="1" applyBorder="1" applyAlignment="1" applyProtection="1">
      <alignment horizontal="right" vertical="center" wrapText="1"/>
    </xf>
    <xf numFmtId="3" fontId="78" fillId="0" borderId="2" xfId="0" applyNumberFormat="1" applyFont="1" applyFill="1" applyBorder="1" applyAlignment="1">
      <alignment horizontal="right" vertical="center"/>
    </xf>
    <xf numFmtId="3" fontId="136" fillId="0" borderId="2" xfId="0" applyNumberFormat="1" applyFont="1" applyFill="1" applyBorder="1" applyAlignment="1">
      <alignment horizontal="right" vertical="center"/>
    </xf>
    <xf numFmtId="3" fontId="136" fillId="0" borderId="2" xfId="7" applyNumberFormat="1" applyFont="1" applyFill="1" applyBorder="1" applyAlignment="1" applyProtection="1">
      <alignment horizontal="right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70" fillId="10" borderId="2" xfId="0" applyFont="1" applyFill="1" applyBorder="1" applyAlignment="1" applyProtection="1">
      <alignment vertical="top" wrapText="1" readingOrder="1"/>
      <protection locked="0"/>
    </xf>
    <xf numFmtId="3" fontId="136" fillId="10" borderId="2" xfId="7" applyNumberFormat="1" applyFont="1" applyFill="1" applyBorder="1" applyAlignment="1" applyProtection="1">
      <alignment horizontal="right" vertical="center" wrapText="1"/>
    </xf>
    <xf numFmtId="3" fontId="135" fillId="10" borderId="2" xfId="0" applyNumberFormat="1" applyFont="1" applyFill="1" applyBorder="1" applyAlignment="1">
      <alignment horizontal="right" vertical="center"/>
    </xf>
    <xf numFmtId="3" fontId="135" fillId="10" borderId="2" xfId="7" applyNumberFormat="1" applyFont="1" applyFill="1" applyBorder="1" applyAlignment="1" applyProtection="1">
      <alignment horizontal="right" vertical="center" wrapText="1"/>
    </xf>
    <xf numFmtId="4" fontId="135" fillId="0" borderId="2" xfId="0" applyNumberFormat="1" applyFont="1" applyFill="1" applyBorder="1" applyAlignment="1">
      <alignment horizontal="right" vertical="center"/>
    </xf>
    <xf numFmtId="3" fontId="136" fillId="0" borderId="2" xfId="0" applyNumberFormat="1" applyFont="1" applyFill="1" applyBorder="1" applyAlignment="1">
      <alignment horizontal="right" vertical="center" wrapText="1"/>
    </xf>
    <xf numFmtId="0" fontId="78" fillId="11" borderId="2" xfId="0" applyFont="1" applyFill="1" applyBorder="1" applyAlignment="1" applyProtection="1">
      <alignment vertical="top" wrapText="1" readingOrder="1"/>
      <protection locked="0"/>
    </xf>
    <xf numFmtId="0" fontId="70" fillId="11" borderId="2" xfId="0" applyFont="1" applyFill="1" applyBorder="1" applyAlignment="1" applyProtection="1">
      <alignment vertical="top" wrapText="1" readingOrder="1"/>
      <protection locked="0"/>
    </xf>
    <xf numFmtId="3" fontId="135" fillId="11" borderId="2" xfId="7" applyNumberFormat="1" applyFont="1" applyFill="1" applyBorder="1" applyAlignment="1" applyProtection="1">
      <alignment horizontal="right" vertical="center" wrapText="1"/>
    </xf>
    <xf numFmtId="3" fontId="135" fillId="11" borderId="2" xfId="0" applyNumberFormat="1" applyFont="1" applyFill="1" applyBorder="1" applyAlignment="1">
      <alignment horizontal="right" vertical="center"/>
    </xf>
    <xf numFmtId="0" fontId="16" fillId="11" borderId="2" xfId="0" applyFont="1" applyFill="1" applyBorder="1" applyAlignment="1" applyProtection="1">
      <alignment horizontal="center" vertical="top" wrapText="1" readingOrder="1"/>
      <protection locked="0"/>
    </xf>
    <xf numFmtId="0" fontId="138" fillId="11" borderId="2" xfId="0" applyFont="1" applyFill="1" applyBorder="1" applyAlignment="1" applyProtection="1">
      <alignment vertical="top" wrapText="1" readingOrder="1"/>
      <protection locked="0"/>
    </xf>
    <xf numFmtId="3" fontId="135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3" fontId="136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78" fillId="11" borderId="2" xfId="0" applyFont="1" applyFill="1" applyBorder="1" applyAlignment="1" applyProtection="1">
      <alignment horizontal="center" vertical="top" wrapText="1" readingOrder="1"/>
      <protection locked="0"/>
    </xf>
    <xf numFmtId="0" fontId="137" fillId="11" borderId="2" xfId="0" applyFont="1" applyFill="1" applyBorder="1" applyAlignment="1" applyProtection="1">
      <alignment vertical="top" wrapText="1" readingOrder="1"/>
      <protection locked="0"/>
    </xf>
    <xf numFmtId="3" fontId="136" fillId="1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2" xfId="0" applyFont="1" applyFill="1" applyBorder="1" applyAlignment="1">
      <alignment horizontal="right" vertical="center"/>
    </xf>
    <xf numFmtId="3" fontId="142" fillId="0" borderId="2" xfId="0" applyNumberFormat="1" applyFont="1" applyFill="1" applyBorder="1" applyAlignment="1">
      <alignment horizontal="right" vertical="center"/>
    </xf>
    <xf numFmtId="0" fontId="91" fillId="0" borderId="2" xfId="0" applyFont="1" applyFill="1" applyBorder="1" applyAlignment="1" applyProtection="1">
      <alignment vertical="top" wrapText="1" readingOrder="1"/>
      <protection locked="0"/>
    </xf>
    <xf numFmtId="0" fontId="78" fillId="12" borderId="2" xfId="0" applyFont="1" applyFill="1" applyBorder="1" applyAlignment="1" applyProtection="1">
      <alignment vertical="top" wrapText="1" readingOrder="1"/>
      <protection locked="0"/>
    </xf>
    <xf numFmtId="0" fontId="137" fillId="12" borderId="2" xfId="0" applyFont="1" applyFill="1" applyBorder="1" applyAlignment="1" applyProtection="1">
      <alignment vertical="top" wrapText="1" readingOrder="1"/>
      <protection locked="0"/>
    </xf>
    <xf numFmtId="3" fontId="135" fillId="12" borderId="2" xfId="7" applyNumberFormat="1" applyFont="1" applyFill="1" applyBorder="1" applyAlignment="1" applyProtection="1">
      <alignment horizontal="right" vertical="center" wrapText="1"/>
    </xf>
    <xf numFmtId="3" fontId="136" fillId="12" borderId="2" xfId="0" applyNumberFormat="1" applyFont="1" applyFill="1" applyBorder="1" applyAlignment="1">
      <alignment horizontal="right" vertical="center"/>
    </xf>
    <xf numFmtId="0" fontId="138" fillId="12" borderId="2" xfId="0" applyFont="1" applyFill="1" applyBorder="1" applyAlignment="1" applyProtection="1">
      <alignment vertical="top" wrapText="1" readingOrder="1"/>
      <protection locked="0"/>
    </xf>
    <xf numFmtId="3" fontId="135" fillId="12" borderId="38" xfId="7" applyNumberFormat="1" applyFont="1" applyFill="1" applyBorder="1" applyAlignment="1" applyProtection="1">
      <alignment horizontal="right" vertical="center" wrapText="1"/>
    </xf>
    <xf numFmtId="3" fontId="78" fillId="12" borderId="2" xfId="7" applyNumberFormat="1" applyFont="1" applyFill="1" applyBorder="1" applyAlignment="1" applyProtection="1">
      <alignment horizontal="right" vertical="center" wrapText="1"/>
    </xf>
    <xf numFmtId="3" fontId="78" fillId="12" borderId="38" xfId="7" applyNumberFormat="1" applyFont="1" applyFill="1" applyBorder="1" applyAlignment="1" applyProtection="1">
      <alignment horizontal="right" vertical="center" wrapText="1"/>
    </xf>
    <xf numFmtId="0" fontId="70" fillId="12" borderId="2" xfId="0" applyFont="1" applyFill="1" applyBorder="1" applyAlignment="1" applyProtection="1">
      <alignment vertical="top" wrapText="1" readingOrder="1"/>
      <protection locked="0"/>
    </xf>
    <xf numFmtId="3" fontId="136" fillId="0" borderId="38" xfId="0" applyNumberFormat="1" applyFont="1" applyFill="1" applyBorder="1" applyAlignment="1" applyProtection="1">
      <alignment horizontal="right" vertical="center" wrapText="1" readingOrder="1"/>
      <protection locked="0"/>
    </xf>
    <xf numFmtId="0" fontId="78" fillId="0" borderId="19" xfId="0" applyFont="1" applyFill="1" applyBorder="1" applyAlignment="1" applyProtection="1">
      <alignment vertical="top" wrapText="1" readingOrder="1"/>
      <protection locked="0"/>
    </xf>
    <xf numFmtId="3" fontId="136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70" fillId="0" borderId="19" xfId="0" applyFont="1" applyFill="1" applyBorder="1" applyAlignment="1" applyProtection="1">
      <alignment vertical="top" wrapText="1" readingOrder="1"/>
      <protection locked="0"/>
    </xf>
    <xf numFmtId="3" fontId="135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3" fontId="135" fillId="0" borderId="38" xfId="0" applyNumberFormat="1" applyFont="1" applyFill="1" applyBorder="1" applyAlignment="1" applyProtection="1">
      <alignment horizontal="right" vertical="center" wrapText="1" readingOrder="1"/>
      <protection locked="0"/>
    </xf>
    <xf numFmtId="0" fontId="65" fillId="11" borderId="19" xfId="0" applyFont="1" applyFill="1" applyBorder="1" applyAlignment="1">
      <alignment horizontal="center" vertical="center" wrapText="1"/>
    </xf>
    <xf numFmtId="0" fontId="65" fillId="11" borderId="19" xfId="0" applyFont="1" applyFill="1" applyBorder="1" applyAlignment="1">
      <alignment horizontal="left" vertical="center" wrapText="1"/>
    </xf>
    <xf numFmtId="3" fontId="65" fillId="11" borderId="19" xfId="0" applyNumberFormat="1" applyFont="1" applyFill="1" applyBorder="1" applyAlignment="1">
      <alignment horizontal="right" vertical="center" wrapText="1"/>
    </xf>
    <xf numFmtId="0" fontId="67" fillId="11" borderId="19" xfId="0" applyFont="1" applyFill="1" applyBorder="1" applyAlignment="1">
      <alignment vertical="center" wrapText="1"/>
    </xf>
    <xf numFmtId="3" fontId="79" fillId="11" borderId="19" xfId="7" applyNumberFormat="1" applyFont="1" applyFill="1" applyBorder="1" applyAlignment="1" applyProtection="1">
      <alignment horizontal="right" vertical="center" wrapText="1"/>
    </xf>
    <xf numFmtId="3" fontId="143" fillId="11" borderId="19" xfId="7" applyNumberFormat="1" applyFont="1" applyFill="1" applyBorder="1" applyAlignment="1" applyProtection="1">
      <alignment horizontal="right" vertical="center" wrapText="1"/>
    </xf>
    <xf numFmtId="3" fontId="65" fillId="11" borderId="19" xfId="7" applyNumberFormat="1" applyFont="1" applyFill="1" applyBorder="1" applyAlignment="1" applyProtection="1">
      <alignment horizontal="right" vertical="center" wrapText="1"/>
    </xf>
    <xf numFmtId="0" fontId="65" fillId="0" borderId="19" xfId="0" applyFont="1" applyFill="1" applyBorder="1" applyAlignment="1">
      <alignment horizontal="center" vertical="center" wrapText="1"/>
    </xf>
    <xf numFmtId="3" fontId="136" fillId="0" borderId="19" xfId="0" applyNumberFormat="1" applyFont="1" applyFill="1" applyBorder="1" applyAlignment="1">
      <alignment horizontal="right" vertical="center"/>
    </xf>
    <xf numFmtId="0" fontId="65" fillId="0" borderId="2" xfId="0" applyFont="1" applyFill="1" applyBorder="1" applyAlignment="1">
      <alignment horizontal="center" vertical="center" wrapText="1"/>
    </xf>
    <xf numFmtId="0" fontId="78" fillId="0" borderId="2" xfId="0" applyFont="1" applyFill="1" applyBorder="1" applyAlignment="1" applyProtection="1">
      <alignment vertical="center" wrapText="1" readingOrder="1"/>
      <protection locked="0"/>
    </xf>
    <xf numFmtId="3" fontId="79" fillId="0" borderId="2" xfId="7" applyNumberFormat="1" applyFont="1" applyFill="1" applyBorder="1" applyAlignment="1" applyProtection="1">
      <alignment horizontal="right" vertical="center" wrapText="1"/>
    </xf>
    <xf numFmtId="0" fontId="78" fillId="0" borderId="19" xfId="0" applyFont="1" applyFill="1" applyBorder="1" applyAlignment="1" applyProtection="1">
      <alignment horizontal="center" vertical="center" wrapText="1" readingOrder="1"/>
      <protection locked="0"/>
    </xf>
    <xf numFmtId="3" fontId="144" fillId="0" borderId="2" xfId="0" applyNumberFormat="1" applyFont="1" applyFill="1" applyBorder="1" applyAlignment="1">
      <alignment horizontal="right" vertical="center"/>
    </xf>
    <xf numFmtId="3" fontId="79" fillId="11" borderId="2" xfId="7" applyNumberFormat="1" applyFont="1" applyFill="1" applyBorder="1" applyAlignment="1" applyProtection="1">
      <alignment horizontal="right" vertical="center" wrapText="1"/>
    </xf>
    <xf numFmtId="3" fontId="78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78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3" fontId="136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6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6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79" fillId="0" borderId="2" xfId="0" applyFont="1" applyFill="1" applyBorder="1" applyAlignment="1">
      <alignment vertical="center" wrapText="1"/>
    </xf>
    <xf numFmtId="0" fontId="65" fillId="10" borderId="2" xfId="0" applyFont="1" applyFill="1" applyBorder="1" applyAlignment="1">
      <alignment horizontal="center" vertical="center" wrapText="1"/>
    </xf>
    <xf numFmtId="0" fontId="65" fillId="10" borderId="2" xfId="0" applyFont="1" applyFill="1" applyBorder="1" applyAlignment="1">
      <alignment horizontal="left" vertical="center" wrapText="1"/>
    </xf>
    <xf numFmtId="0" fontId="135" fillId="10" borderId="2" xfId="0" applyFont="1" applyFill="1" applyBorder="1" applyAlignment="1">
      <alignment horizontal="right" vertical="center"/>
    </xf>
    <xf numFmtId="0" fontId="67" fillId="10" borderId="2" xfId="0" applyFont="1" applyFill="1" applyBorder="1" applyAlignment="1">
      <alignment vertical="center" wrapText="1"/>
    </xf>
    <xf numFmtId="0" fontId="138" fillId="10" borderId="2" xfId="7" applyFont="1" applyFill="1" applyBorder="1" applyAlignment="1" applyProtection="1">
      <alignment horizontal="left" vertical="center" wrapText="1" indent="2"/>
    </xf>
    <xf numFmtId="0" fontId="143" fillId="10" borderId="2" xfId="0" applyFont="1" applyFill="1" applyBorder="1" applyAlignment="1">
      <alignment vertical="center" wrapText="1"/>
    </xf>
    <xf numFmtId="0" fontId="137" fillId="10" borderId="2" xfId="7" applyFont="1" applyFill="1" applyBorder="1" applyAlignment="1" applyProtection="1">
      <alignment horizontal="left" vertical="center" wrapText="1" indent="2"/>
    </xf>
    <xf numFmtId="0" fontId="136" fillId="0" borderId="0" xfId="0" applyFont="1" applyFill="1"/>
    <xf numFmtId="0" fontId="16" fillId="3" borderId="0" xfId="0" applyFont="1" applyFill="1"/>
    <xf numFmtId="0" fontId="17" fillId="0" borderId="0" xfId="5" applyFont="1" applyFill="1" applyAlignment="1">
      <alignment horizontal="left" vertical="center" wrapText="1"/>
    </xf>
    <xf numFmtId="0" fontId="63" fillId="0" borderId="0" xfId="5" applyFont="1" applyFill="1" applyAlignment="1">
      <alignment horizontal="right" vertical="center" wrapText="1"/>
    </xf>
    <xf numFmtId="2" fontId="20" fillId="4" borderId="2" xfId="4" applyNumberFormat="1" applyFont="1" applyFill="1" applyBorder="1" applyAlignment="1">
      <alignment horizontal="center" vertical="center" wrapText="1"/>
    </xf>
    <xf numFmtId="2" fontId="20" fillId="4" borderId="2" xfId="4" applyNumberFormat="1" applyFont="1" applyFill="1" applyBorder="1" applyAlignment="1">
      <alignment horizontal="center" vertical="center"/>
    </xf>
    <xf numFmtId="2" fontId="64" fillId="4" borderId="20" xfId="4" applyNumberFormat="1" applyFont="1" applyFill="1" applyBorder="1" applyAlignment="1">
      <alignment horizontal="center" vertical="center" wrapText="1"/>
    </xf>
    <xf numFmtId="2" fontId="64" fillId="4" borderId="19" xfId="4" applyNumberFormat="1" applyFont="1" applyFill="1" applyBorder="1" applyAlignment="1">
      <alignment horizontal="center" vertical="center" wrapText="1"/>
    </xf>
    <xf numFmtId="2" fontId="64" fillId="4" borderId="6" xfId="4" applyNumberFormat="1" applyFont="1" applyFill="1" applyBorder="1" applyAlignment="1">
      <alignment horizontal="center" vertical="center" wrapText="1"/>
    </xf>
    <xf numFmtId="2" fontId="64" fillId="4" borderId="38" xfId="4" applyNumberFormat="1" applyFont="1" applyFill="1" applyBorder="1" applyAlignment="1">
      <alignment horizontal="center" vertical="center" wrapText="1"/>
    </xf>
    <xf numFmtId="0" fontId="17" fillId="0" borderId="0" xfId="5" applyFont="1" applyFill="1" applyAlignment="1">
      <alignment horizontal="center" vertical="center" wrapText="1"/>
    </xf>
    <xf numFmtId="165" fontId="8" fillId="5" borderId="37" xfId="0" applyNumberFormat="1" applyFont="1" applyFill="1" applyBorder="1" applyAlignment="1" applyProtection="1">
      <alignment horizontal="center" vertical="center" wrapText="1"/>
    </xf>
    <xf numFmtId="165" fontId="8" fillId="5" borderId="39" xfId="0" applyNumberFormat="1" applyFont="1" applyFill="1" applyBorder="1" applyAlignment="1" applyProtection="1">
      <alignment horizontal="center" vertical="center" wrapText="1"/>
    </xf>
    <xf numFmtId="165" fontId="8" fillId="5" borderId="38" xfId="0" applyNumberFormat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vertical="center" wrapText="1"/>
      <protection locked="0"/>
    </xf>
    <xf numFmtId="0" fontId="9" fillId="3" borderId="39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165" fontId="7" fillId="3" borderId="2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6" fillId="3" borderId="0" xfId="3" applyFont="1" applyFill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 vertical="center"/>
    </xf>
    <xf numFmtId="165" fontId="8" fillId="3" borderId="37" xfId="0" applyNumberFormat="1" applyFont="1" applyFill="1" applyBorder="1" applyAlignment="1" applyProtection="1">
      <alignment horizontal="center" vertical="center" wrapText="1"/>
    </xf>
    <xf numFmtId="165" fontId="8" fillId="3" borderId="39" xfId="0" applyNumberFormat="1" applyFont="1" applyFill="1" applyBorder="1" applyAlignment="1" applyProtection="1">
      <alignment horizontal="center" vertical="center" wrapText="1"/>
    </xf>
    <xf numFmtId="165" fontId="8" fillId="3" borderId="38" xfId="0" applyNumberFormat="1" applyFont="1" applyFill="1" applyBorder="1" applyAlignment="1" applyProtection="1">
      <alignment horizontal="center" vertical="center" wrapText="1"/>
    </xf>
    <xf numFmtId="0" fontId="70" fillId="5" borderId="2" xfId="0" applyFont="1" applyFill="1" applyBorder="1" applyAlignment="1" applyProtection="1">
      <alignment horizontal="center" vertical="center" wrapText="1"/>
    </xf>
    <xf numFmtId="165" fontId="71" fillId="5" borderId="2" xfId="0" applyNumberFormat="1" applyFont="1" applyFill="1" applyBorder="1" applyAlignment="1" applyProtection="1">
      <alignment horizontal="center" vertical="center" wrapText="1"/>
    </xf>
    <xf numFmtId="0" fontId="68" fillId="3" borderId="0" xfId="0" applyFont="1" applyFill="1" applyAlignment="1" applyProtection="1">
      <alignment horizontal="center" vertical="center"/>
      <protection locked="0"/>
    </xf>
    <xf numFmtId="0" fontId="21" fillId="3" borderId="0" xfId="3" applyFont="1" applyFill="1" applyAlignment="1" applyProtection="1">
      <alignment horizontal="center"/>
      <protection locked="0"/>
    </xf>
    <xf numFmtId="0" fontId="67" fillId="3" borderId="0" xfId="0" applyFont="1" applyFill="1" applyAlignment="1" applyProtection="1">
      <alignment horizontal="center" vertical="center"/>
      <protection locked="0"/>
    </xf>
    <xf numFmtId="165" fontId="71" fillId="3" borderId="2" xfId="0" applyNumberFormat="1" applyFont="1" applyFill="1" applyBorder="1" applyAlignment="1" applyProtection="1">
      <alignment horizontal="center" vertical="center" wrapText="1"/>
    </xf>
    <xf numFmtId="0" fontId="22" fillId="3" borderId="0" xfId="4" applyFont="1" applyFill="1" applyBorder="1" applyAlignment="1" applyProtection="1">
      <alignment horizontal="left" vertical="center" wrapText="1"/>
    </xf>
    <xf numFmtId="165" fontId="71" fillId="3" borderId="23" xfId="0" applyNumberFormat="1" applyFont="1" applyFill="1" applyBorder="1" applyAlignment="1" applyProtection="1">
      <alignment horizontal="center" vertical="center" wrapText="1"/>
    </xf>
    <xf numFmtId="165" fontId="71" fillId="3" borderId="18" xfId="0" applyNumberFormat="1" applyFont="1" applyFill="1" applyBorder="1" applyAlignment="1" applyProtection="1">
      <alignment horizontal="center" vertical="center" wrapText="1"/>
    </xf>
    <xf numFmtId="0" fontId="76" fillId="3" borderId="0" xfId="0" applyFont="1" applyFill="1" applyAlignment="1" applyProtection="1">
      <alignment horizontal="center" vertical="center"/>
      <protection locked="0"/>
    </xf>
    <xf numFmtId="0" fontId="21" fillId="3" borderId="0" xfId="3" applyFont="1" applyFill="1" applyAlignment="1" applyProtection="1">
      <alignment horizontal="left" vertical="center"/>
      <protection locked="0"/>
    </xf>
    <xf numFmtId="0" fontId="55" fillId="3" borderId="0" xfId="0" applyFont="1" applyFill="1" applyAlignment="1" applyProtection="1">
      <alignment horizontal="center" vertical="center"/>
      <protection locked="0"/>
    </xf>
    <xf numFmtId="0" fontId="68" fillId="3" borderId="0" xfId="3" applyFont="1" applyFill="1" applyAlignment="1" applyProtection="1">
      <alignment horizontal="left" vertical="center" wrapText="1"/>
      <protection locked="0"/>
    </xf>
    <xf numFmtId="2" fontId="20" fillId="5" borderId="9" xfId="4" applyNumberFormat="1" applyFont="1" applyFill="1" applyBorder="1" applyAlignment="1" applyProtection="1">
      <alignment horizontal="center" vertical="center" wrapText="1"/>
    </xf>
    <xf numFmtId="2" fontId="20" fillId="5" borderId="11" xfId="4" applyNumberFormat="1" applyFont="1" applyFill="1" applyBorder="1" applyAlignment="1" applyProtection="1">
      <alignment horizontal="center" vertical="center" wrapText="1"/>
    </xf>
    <xf numFmtId="2" fontId="20" fillId="5" borderId="12" xfId="4" applyNumberFormat="1" applyFont="1" applyFill="1" applyBorder="1" applyAlignment="1" applyProtection="1">
      <alignment horizontal="center" vertical="center" wrapText="1"/>
    </xf>
    <xf numFmtId="2" fontId="20" fillId="5" borderId="10" xfId="4" applyNumberFormat="1" applyFont="1" applyFill="1" applyBorder="1" applyAlignment="1" applyProtection="1">
      <alignment horizontal="center" vertical="center"/>
    </xf>
    <xf numFmtId="2" fontId="20" fillId="5" borderId="4" xfId="4" applyNumberFormat="1" applyFont="1" applyFill="1" applyBorder="1" applyAlignment="1" applyProtection="1">
      <alignment horizontal="center" vertical="center"/>
    </xf>
    <xf numFmtId="2" fontId="20" fillId="5" borderId="13" xfId="4" applyNumberFormat="1" applyFont="1" applyFill="1" applyBorder="1" applyAlignment="1" applyProtection="1">
      <alignment horizontal="center" vertical="center"/>
    </xf>
    <xf numFmtId="0" fontId="60" fillId="5" borderId="26" xfId="4" applyFont="1" applyFill="1" applyBorder="1" applyAlignment="1">
      <alignment horizontal="center" vertical="center" wrapText="1"/>
    </xf>
    <xf numFmtId="0" fontId="60" fillId="5" borderId="29" xfId="4" applyFont="1" applyFill="1" applyBorder="1" applyAlignment="1">
      <alignment horizontal="center" vertical="center" wrapText="1"/>
    </xf>
    <xf numFmtId="0" fontId="60" fillId="5" borderId="27" xfId="4" applyFont="1" applyFill="1" applyBorder="1" applyAlignment="1">
      <alignment horizontal="center" vertical="center" wrapText="1"/>
    </xf>
    <xf numFmtId="0" fontId="60" fillId="5" borderId="28" xfId="4" applyFont="1" applyFill="1" applyBorder="1" applyAlignment="1">
      <alignment horizontal="center" vertical="center" wrapText="1"/>
    </xf>
    <xf numFmtId="0" fontId="56" fillId="3" borderId="0" xfId="3" applyFont="1" applyFill="1" applyAlignment="1">
      <alignment horizontal="right" vertical="center" wrapText="1" indent="1"/>
    </xf>
    <xf numFmtId="0" fontId="57" fillId="3" borderId="0" xfId="4" applyFont="1" applyFill="1" applyAlignment="1">
      <alignment horizontal="center" vertical="center" wrapText="1"/>
    </xf>
    <xf numFmtId="0" fontId="91" fillId="3" borderId="37" xfId="0" applyFont="1" applyFill="1" applyBorder="1" applyAlignment="1">
      <alignment horizontal="center" vertical="center" wrapText="1"/>
    </xf>
    <xf numFmtId="0" fontId="91" fillId="3" borderId="39" xfId="0" applyFont="1" applyFill="1" applyBorder="1" applyAlignment="1">
      <alignment horizontal="center" vertical="center" wrapText="1"/>
    </xf>
    <xf numFmtId="0" fontId="91" fillId="3" borderId="38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122" fillId="3" borderId="48" xfId="0" applyFont="1" applyFill="1" applyBorder="1" applyAlignment="1">
      <alignment horizontal="center" vertical="center" wrapText="1"/>
    </xf>
    <xf numFmtId="0" fontId="122" fillId="3" borderId="18" xfId="0" applyFont="1" applyFill="1" applyBorder="1" applyAlignment="1">
      <alignment horizontal="center" vertical="center" wrapText="1"/>
    </xf>
    <xf numFmtId="0" fontId="122" fillId="3" borderId="22" xfId="0" applyFont="1" applyFill="1" applyBorder="1" applyAlignment="1">
      <alignment horizontal="center" vertical="center" wrapText="1"/>
    </xf>
    <xf numFmtId="0" fontId="122" fillId="3" borderId="47" xfId="0" applyFont="1" applyFill="1" applyBorder="1" applyAlignment="1">
      <alignment horizontal="center" vertical="center" wrapText="1"/>
    </xf>
    <xf numFmtId="0" fontId="122" fillId="3" borderId="0" xfId="0" applyFont="1" applyFill="1" applyBorder="1" applyAlignment="1">
      <alignment horizontal="center" vertical="center" wrapText="1"/>
    </xf>
    <xf numFmtId="0" fontId="122" fillId="3" borderId="7" xfId="0" applyFont="1" applyFill="1" applyBorder="1" applyAlignment="1">
      <alignment horizontal="center" vertical="center" wrapText="1"/>
    </xf>
    <xf numFmtId="0" fontId="91" fillId="3" borderId="2" xfId="0" applyFont="1" applyFill="1" applyBorder="1" applyAlignment="1">
      <alignment horizontal="center" vertical="center" textRotation="90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1" fillId="3" borderId="0" xfId="3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135" fillId="0" borderId="2" xfId="0" applyFont="1" applyFill="1" applyBorder="1" applyAlignment="1" applyProtection="1">
      <alignment horizontal="center" vertical="center" wrapText="1"/>
      <protection locked="0"/>
    </xf>
    <xf numFmtId="0" fontId="65" fillId="0" borderId="20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 vertical="center" wrapText="1"/>
    </xf>
    <xf numFmtId="0" fontId="135" fillId="0" borderId="20" xfId="0" applyFont="1" applyFill="1" applyBorder="1" applyAlignment="1" applyProtection="1">
      <alignment horizontal="center" vertical="center" wrapText="1"/>
      <protection locked="0"/>
    </xf>
    <xf numFmtId="0" fontId="135" fillId="0" borderId="19" xfId="0" applyFont="1" applyFill="1" applyBorder="1" applyAlignment="1" applyProtection="1">
      <alignment horizontal="center" vertical="center" wrapText="1"/>
      <protection locked="0"/>
    </xf>
    <xf numFmtId="0" fontId="135" fillId="0" borderId="49" xfId="0" applyFont="1" applyFill="1" applyBorder="1" applyAlignment="1" applyProtection="1">
      <alignment horizontal="center" vertical="center" wrapText="1"/>
      <protection locked="0"/>
    </xf>
    <xf numFmtId="0" fontId="135" fillId="0" borderId="23" xfId="0" applyFont="1" applyFill="1" applyBorder="1" applyAlignment="1" applyProtection="1">
      <alignment horizontal="center" vertical="center" wrapText="1"/>
      <protection locked="0"/>
    </xf>
    <xf numFmtId="0" fontId="135" fillId="0" borderId="21" xfId="0" applyFont="1" applyFill="1" applyBorder="1" applyAlignment="1" applyProtection="1">
      <alignment horizontal="center" vertical="center" wrapText="1"/>
      <protection locked="0"/>
    </xf>
  </cellXfs>
  <cellStyles count="9">
    <cellStyle name="Comma" xfId="1" builtinId="3"/>
    <cellStyle name="Comma 3" xfId="8"/>
    <cellStyle name="Good" xfId="5" builtinId="26"/>
    <cellStyle name="Good 2" xfId="3"/>
    <cellStyle name="Normal" xfId="0" builtinId="0"/>
    <cellStyle name="Normal 2" xfId="4"/>
    <cellStyle name="Normal 4" xfId="2"/>
    <cellStyle name="Normal 5" xfId="6"/>
    <cellStyle name="Normal_cxrili 30.12.2008 BOLOOOOO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amulashvili/Desktop/&#4305;&#4312;&#4323;&#4335;&#4308;&#4322;&#4312;-2018/&#4313;&#4309;&#4304;&#4320;&#4322;&#4304;&#4314;&#4323;&#4320;&#4312;%20&#4304;&#4316;&#4306;&#4304;&#4320;&#4312;&#4328;&#4308;&#4305;&#4312;/II%20&#4313;&#4309;&#4304;&#4320;&#4322;&#4304;&#4314;&#4312;/&#4315;&#4308;&#4317;&#4320;&#4308;%20&#4313;&#4309;&#4304;&#4320;&#4322;&#4304;&#4314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ნართი 1"/>
      <sheetName val="დანართი 2 ცხრილი-1"/>
      <sheetName val="დანართი 2 ცხრილი-2"/>
      <sheetName val="დანართი 2 ცხრილი-3"/>
      <sheetName val="დანართი 3"/>
      <sheetName val="დანართი 4 ცხრილი 1"/>
      <sheetName val="დანართი 5"/>
      <sheetName val="დანართი 6"/>
      <sheetName val="Sheet2"/>
      <sheetName val="Sheet3"/>
      <sheetName val="Sheet4"/>
    </sheetNames>
    <sheetDataSet>
      <sheetData sheetId="0" refreshError="1">
        <row r="14">
          <cell r="I14">
            <v>1243057.49</v>
          </cell>
          <cell r="J14">
            <v>1232624.82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39"/>
  <sheetViews>
    <sheetView topLeftCell="B1" zoomScale="80" zoomScaleNormal="80" workbookViewId="0">
      <selection activeCell="F16" sqref="F16"/>
    </sheetView>
  </sheetViews>
  <sheetFormatPr defaultRowHeight="18" outlineLevelCol="1" x14ac:dyDescent="0.2"/>
  <cols>
    <col min="1" max="1" width="3.5703125" style="25" customWidth="1"/>
    <col min="2" max="2" width="2.7109375" style="25" customWidth="1"/>
    <col min="3" max="3" width="15" style="28" customWidth="1"/>
    <col min="4" max="4" width="68.5703125" style="28" customWidth="1"/>
    <col min="5" max="5" width="21" style="28" bestFit="1" customWidth="1"/>
    <col min="6" max="6" width="20.7109375" style="28" bestFit="1" customWidth="1"/>
    <col min="7" max="7" width="18.7109375" style="28" customWidth="1"/>
    <col min="8" max="8" width="11.42578125" style="89" bestFit="1" customWidth="1" outlineLevel="1"/>
    <col min="9" max="9" width="16" style="28" bestFit="1" customWidth="1" outlineLevel="1"/>
    <col min="10" max="10" width="17.5703125" style="28" customWidth="1" outlineLevel="1"/>
    <col min="11" max="11" width="11.42578125" style="28" bestFit="1" customWidth="1" outlineLevel="1"/>
    <col min="12" max="12" width="17.5703125" style="28" customWidth="1" outlineLevel="1"/>
    <col min="13" max="13" width="11.42578125" style="28" bestFit="1" customWidth="1" outlineLevel="1"/>
    <col min="14" max="14" width="14.28515625" style="28" customWidth="1" outlineLevel="1"/>
    <col min="15" max="15" width="12" style="28" bestFit="1" customWidth="1" outlineLevel="1"/>
    <col min="16" max="16" width="16.42578125" style="28" bestFit="1" customWidth="1" outlineLevel="1"/>
    <col min="17" max="17" width="15.7109375" style="28" bestFit="1" customWidth="1" outlineLevel="1"/>
    <col min="18" max="18" width="13.42578125" style="28" bestFit="1" customWidth="1" outlineLevel="1"/>
    <col min="19" max="19" width="15" style="28" bestFit="1" customWidth="1" outlineLevel="1"/>
    <col min="20" max="20" width="17.42578125" style="28" customWidth="1"/>
    <col min="21" max="21" width="12.85546875" style="28" customWidth="1"/>
    <col min="22" max="22" width="11.5703125" style="28" customWidth="1"/>
    <col min="23" max="27" width="11.5703125" style="29" customWidth="1"/>
    <col min="28" max="256" width="9.140625" style="29"/>
    <col min="257" max="257" width="3.5703125" style="29" customWidth="1"/>
    <col min="258" max="258" width="2.7109375" style="29" customWidth="1"/>
    <col min="259" max="259" width="15" style="29" customWidth="1"/>
    <col min="260" max="260" width="68.5703125" style="29" customWidth="1"/>
    <col min="261" max="261" width="23" style="29" customWidth="1"/>
    <col min="262" max="262" width="22.140625" style="29" customWidth="1"/>
    <col min="263" max="263" width="22.42578125" style="29" customWidth="1"/>
    <col min="264" max="264" width="17.5703125" style="29" customWidth="1"/>
    <col min="265" max="265" width="20.7109375" style="29" customWidth="1"/>
    <col min="266" max="268" width="17.5703125" style="29" customWidth="1"/>
    <col min="269" max="269" width="16.140625" style="29" customWidth="1"/>
    <col min="270" max="274" width="17.5703125" style="29" customWidth="1"/>
    <col min="275" max="275" width="19.7109375" style="29" customWidth="1"/>
    <col min="276" max="276" width="17.42578125" style="29" customWidth="1"/>
    <col min="277" max="277" width="12.85546875" style="29" customWidth="1"/>
    <col min="278" max="283" width="11.5703125" style="29" customWidth="1"/>
    <col min="284" max="512" width="9.140625" style="29"/>
    <col min="513" max="513" width="3.5703125" style="29" customWidth="1"/>
    <col min="514" max="514" width="2.7109375" style="29" customWidth="1"/>
    <col min="515" max="515" width="15" style="29" customWidth="1"/>
    <col min="516" max="516" width="68.5703125" style="29" customWidth="1"/>
    <col min="517" max="517" width="23" style="29" customWidth="1"/>
    <col min="518" max="518" width="22.140625" style="29" customWidth="1"/>
    <col min="519" max="519" width="22.42578125" style="29" customWidth="1"/>
    <col min="520" max="520" width="17.5703125" style="29" customWidth="1"/>
    <col min="521" max="521" width="20.7109375" style="29" customWidth="1"/>
    <col min="522" max="524" width="17.5703125" style="29" customWidth="1"/>
    <col min="525" max="525" width="16.140625" style="29" customWidth="1"/>
    <col min="526" max="530" width="17.5703125" style="29" customWidth="1"/>
    <col min="531" max="531" width="19.7109375" style="29" customWidth="1"/>
    <col min="532" max="532" width="17.42578125" style="29" customWidth="1"/>
    <col min="533" max="533" width="12.85546875" style="29" customWidth="1"/>
    <col min="534" max="539" width="11.5703125" style="29" customWidth="1"/>
    <col min="540" max="768" width="9.140625" style="29"/>
    <col min="769" max="769" width="3.5703125" style="29" customWidth="1"/>
    <col min="770" max="770" width="2.7109375" style="29" customWidth="1"/>
    <col min="771" max="771" width="15" style="29" customWidth="1"/>
    <col min="772" max="772" width="68.5703125" style="29" customWidth="1"/>
    <col min="773" max="773" width="23" style="29" customWidth="1"/>
    <col min="774" max="774" width="22.140625" style="29" customWidth="1"/>
    <col min="775" max="775" width="22.42578125" style="29" customWidth="1"/>
    <col min="776" max="776" width="17.5703125" style="29" customWidth="1"/>
    <col min="777" max="777" width="20.7109375" style="29" customWidth="1"/>
    <col min="778" max="780" width="17.5703125" style="29" customWidth="1"/>
    <col min="781" max="781" width="16.140625" style="29" customWidth="1"/>
    <col min="782" max="786" width="17.5703125" style="29" customWidth="1"/>
    <col min="787" max="787" width="19.7109375" style="29" customWidth="1"/>
    <col min="788" max="788" width="17.42578125" style="29" customWidth="1"/>
    <col min="789" max="789" width="12.85546875" style="29" customWidth="1"/>
    <col min="790" max="795" width="11.5703125" style="29" customWidth="1"/>
    <col min="796" max="1024" width="9.140625" style="29"/>
    <col min="1025" max="1025" width="3.5703125" style="29" customWidth="1"/>
    <col min="1026" max="1026" width="2.7109375" style="29" customWidth="1"/>
    <col min="1027" max="1027" width="15" style="29" customWidth="1"/>
    <col min="1028" max="1028" width="68.5703125" style="29" customWidth="1"/>
    <col min="1029" max="1029" width="23" style="29" customWidth="1"/>
    <col min="1030" max="1030" width="22.140625" style="29" customWidth="1"/>
    <col min="1031" max="1031" width="22.42578125" style="29" customWidth="1"/>
    <col min="1032" max="1032" width="17.5703125" style="29" customWidth="1"/>
    <col min="1033" max="1033" width="20.7109375" style="29" customWidth="1"/>
    <col min="1034" max="1036" width="17.5703125" style="29" customWidth="1"/>
    <col min="1037" max="1037" width="16.140625" style="29" customWidth="1"/>
    <col min="1038" max="1042" width="17.5703125" style="29" customWidth="1"/>
    <col min="1043" max="1043" width="19.7109375" style="29" customWidth="1"/>
    <col min="1044" max="1044" width="17.42578125" style="29" customWidth="1"/>
    <col min="1045" max="1045" width="12.85546875" style="29" customWidth="1"/>
    <col min="1046" max="1051" width="11.5703125" style="29" customWidth="1"/>
    <col min="1052" max="1280" width="9.140625" style="29"/>
    <col min="1281" max="1281" width="3.5703125" style="29" customWidth="1"/>
    <col min="1282" max="1282" width="2.7109375" style="29" customWidth="1"/>
    <col min="1283" max="1283" width="15" style="29" customWidth="1"/>
    <col min="1284" max="1284" width="68.5703125" style="29" customWidth="1"/>
    <col min="1285" max="1285" width="23" style="29" customWidth="1"/>
    <col min="1286" max="1286" width="22.140625" style="29" customWidth="1"/>
    <col min="1287" max="1287" width="22.42578125" style="29" customWidth="1"/>
    <col min="1288" max="1288" width="17.5703125" style="29" customWidth="1"/>
    <col min="1289" max="1289" width="20.7109375" style="29" customWidth="1"/>
    <col min="1290" max="1292" width="17.5703125" style="29" customWidth="1"/>
    <col min="1293" max="1293" width="16.140625" style="29" customWidth="1"/>
    <col min="1294" max="1298" width="17.5703125" style="29" customWidth="1"/>
    <col min="1299" max="1299" width="19.7109375" style="29" customWidth="1"/>
    <col min="1300" max="1300" width="17.42578125" style="29" customWidth="1"/>
    <col min="1301" max="1301" width="12.85546875" style="29" customWidth="1"/>
    <col min="1302" max="1307" width="11.5703125" style="29" customWidth="1"/>
    <col min="1308" max="1536" width="9.140625" style="29"/>
    <col min="1537" max="1537" width="3.5703125" style="29" customWidth="1"/>
    <col min="1538" max="1538" width="2.7109375" style="29" customWidth="1"/>
    <col min="1539" max="1539" width="15" style="29" customWidth="1"/>
    <col min="1540" max="1540" width="68.5703125" style="29" customWidth="1"/>
    <col min="1541" max="1541" width="23" style="29" customWidth="1"/>
    <col min="1542" max="1542" width="22.140625" style="29" customWidth="1"/>
    <col min="1543" max="1543" width="22.42578125" style="29" customWidth="1"/>
    <col min="1544" max="1544" width="17.5703125" style="29" customWidth="1"/>
    <col min="1545" max="1545" width="20.7109375" style="29" customWidth="1"/>
    <col min="1546" max="1548" width="17.5703125" style="29" customWidth="1"/>
    <col min="1549" max="1549" width="16.140625" style="29" customWidth="1"/>
    <col min="1550" max="1554" width="17.5703125" style="29" customWidth="1"/>
    <col min="1555" max="1555" width="19.7109375" style="29" customWidth="1"/>
    <col min="1556" max="1556" width="17.42578125" style="29" customWidth="1"/>
    <col min="1557" max="1557" width="12.85546875" style="29" customWidth="1"/>
    <col min="1558" max="1563" width="11.5703125" style="29" customWidth="1"/>
    <col min="1564" max="1792" width="9.140625" style="29"/>
    <col min="1793" max="1793" width="3.5703125" style="29" customWidth="1"/>
    <col min="1794" max="1794" width="2.7109375" style="29" customWidth="1"/>
    <col min="1795" max="1795" width="15" style="29" customWidth="1"/>
    <col min="1796" max="1796" width="68.5703125" style="29" customWidth="1"/>
    <col min="1797" max="1797" width="23" style="29" customWidth="1"/>
    <col min="1798" max="1798" width="22.140625" style="29" customWidth="1"/>
    <col min="1799" max="1799" width="22.42578125" style="29" customWidth="1"/>
    <col min="1800" max="1800" width="17.5703125" style="29" customWidth="1"/>
    <col min="1801" max="1801" width="20.7109375" style="29" customWidth="1"/>
    <col min="1802" max="1804" width="17.5703125" style="29" customWidth="1"/>
    <col min="1805" max="1805" width="16.140625" style="29" customWidth="1"/>
    <col min="1806" max="1810" width="17.5703125" style="29" customWidth="1"/>
    <col min="1811" max="1811" width="19.7109375" style="29" customWidth="1"/>
    <col min="1812" max="1812" width="17.42578125" style="29" customWidth="1"/>
    <col min="1813" max="1813" width="12.85546875" style="29" customWidth="1"/>
    <col min="1814" max="1819" width="11.5703125" style="29" customWidth="1"/>
    <col min="1820" max="2048" width="9.140625" style="29"/>
    <col min="2049" max="2049" width="3.5703125" style="29" customWidth="1"/>
    <col min="2050" max="2050" width="2.7109375" style="29" customWidth="1"/>
    <col min="2051" max="2051" width="15" style="29" customWidth="1"/>
    <col min="2052" max="2052" width="68.5703125" style="29" customWidth="1"/>
    <col min="2053" max="2053" width="23" style="29" customWidth="1"/>
    <col min="2054" max="2054" width="22.140625" style="29" customWidth="1"/>
    <col min="2055" max="2055" width="22.42578125" style="29" customWidth="1"/>
    <col min="2056" max="2056" width="17.5703125" style="29" customWidth="1"/>
    <col min="2057" max="2057" width="20.7109375" style="29" customWidth="1"/>
    <col min="2058" max="2060" width="17.5703125" style="29" customWidth="1"/>
    <col min="2061" max="2061" width="16.140625" style="29" customWidth="1"/>
    <col min="2062" max="2066" width="17.5703125" style="29" customWidth="1"/>
    <col min="2067" max="2067" width="19.7109375" style="29" customWidth="1"/>
    <col min="2068" max="2068" width="17.42578125" style="29" customWidth="1"/>
    <col min="2069" max="2069" width="12.85546875" style="29" customWidth="1"/>
    <col min="2070" max="2075" width="11.5703125" style="29" customWidth="1"/>
    <col min="2076" max="2304" width="9.140625" style="29"/>
    <col min="2305" max="2305" width="3.5703125" style="29" customWidth="1"/>
    <col min="2306" max="2306" width="2.7109375" style="29" customWidth="1"/>
    <col min="2307" max="2307" width="15" style="29" customWidth="1"/>
    <col min="2308" max="2308" width="68.5703125" style="29" customWidth="1"/>
    <col min="2309" max="2309" width="23" style="29" customWidth="1"/>
    <col min="2310" max="2310" width="22.140625" style="29" customWidth="1"/>
    <col min="2311" max="2311" width="22.42578125" style="29" customWidth="1"/>
    <col min="2312" max="2312" width="17.5703125" style="29" customWidth="1"/>
    <col min="2313" max="2313" width="20.7109375" style="29" customWidth="1"/>
    <col min="2314" max="2316" width="17.5703125" style="29" customWidth="1"/>
    <col min="2317" max="2317" width="16.140625" style="29" customWidth="1"/>
    <col min="2318" max="2322" width="17.5703125" style="29" customWidth="1"/>
    <col min="2323" max="2323" width="19.7109375" style="29" customWidth="1"/>
    <col min="2324" max="2324" width="17.42578125" style="29" customWidth="1"/>
    <col min="2325" max="2325" width="12.85546875" style="29" customWidth="1"/>
    <col min="2326" max="2331" width="11.5703125" style="29" customWidth="1"/>
    <col min="2332" max="2560" width="9.140625" style="29"/>
    <col min="2561" max="2561" width="3.5703125" style="29" customWidth="1"/>
    <col min="2562" max="2562" width="2.7109375" style="29" customWidth="1"/>
    <col min="2563" max="2563" width="15" style="29" customWidth="1"/>
    <col min="2564" max="2564" width="68.5703125" style="29" customWidth="1"/>
    <col min="2565" max="2565" width="23" style="29" customWidth="1"/>
    <col min="2566" max="2566" width="22.140625" style="29" customWidth="1"/>
    <col min="2567" max="2567" width="22.42578125" style="29" customWidth="1"/>
    <col min="2568" max="2568" width="17.5703125" style="29" customWidth="1"/>
    <col min="2569" max="2569" width="20.7109375" style="29" customWidth="1"/>
    <col min="2570" max="2572" width="17.5703125" style="29" customWidth="1"/>
    <col min="2573" max="2573" width="16.140625" style="29" customWidth="1"/>
    <col min="2574" max="2578" width="17.5703125" style="29" customWidth="1"/>
    <col min="2579" max="2579" width="19.7109375" style="29" customWidth="1"/>
    <col min="2580" max="2580" width="17.42578125" style="29" customWidth="1"/>
    <col min="2581" max="2581" width="12.85546875" style="29" customWidth="1"/>
    <col min="2582" max="2587" width="11.5703125" style="29" customWidth="1"/>
    <col min="2588" max="2816" width="9.140625" style="29"/>
    <col min="2817" max="2817" width="3.5703125" style="29" customWidth="1"/>
    <col min="2818" max="2818" width="2.7109375" style="29" customWidth="1"/>
    <col min="2819" max="2819" width="15" style="29" customWidth="1"/>
    <col min="2820" max="2820" width="68.5703125" style="29" customWidth="1"/>
    <col min="2821" max="2821" width="23" style="29" customWidth="1"/>
    <col min="2822" max="2822" width="22.140625" style="29" customWidth="1"/>
    <col min="2823" max="2823" width="22.42578125" style="29" customWidth="1"/>
    <col min="2824" max="2824" width="17.5703125" style="29" customWidth="1"/>
    <col min="2825" max="2825" width="20.7109375" style="29" customWidth="1"/>
    <col min="2826" max="2828" width="17.5703125" style="29" customWidth="1"/>
    <col min="2829" max="2829" width="16.140625" style="29" customWidth="1"/>
    <col min="2830" max="2834" width="17.5703125" style="29" customWidth="1"/>
    <col min="2835" max="2835" width="19.7109375" style="29" customWidth="1"/>
    <col min="2836" max="2836" width="17.42578125" style="29" customWidth="1"/>
    <col min="2837" max="2837" width="12.85546875" style="29" customWidth="1"/>
    <col min="2838" max="2843" width="11.5703125" style="29" customWidth="1"/>
    <col min="2844" max="3072" width="9.140625" style="29"/>
    <col min="3073" max="3073" width="3.5703125" style="29" customWidth="1"/>
    <col min="3074" max="3074" width="2.7109375" style="29" customWidth="1"/>
    <col min="3075" max="3075" width="15" style="29" customWidth="1"/>
    <col min="3076" max="3076" width="68.5703125" style="29" customWidth="1"/>
    <col min="3077" max="3077" width="23" style="29" customWidth="1"/>
    <col min="3078" max="3078" width="22.140625" style="29" customWidth="1"/>
    <col min="3079" max="3079" width="22.42578125" style="29" customWidth="1"/>
    <col min="3080" max="3080" width="17.5703125" style="29" customWidth="1"/>
    <col min="3081" max="3081" width="20.7109375" style="29" customWidth="1"/>
    <col min="3082" max="3084" width="17.5703125" style="29" customWidth="1"/>
    <col min="3085" max="3085" width="16.140625" style="29" customWidth="1"/>
    <col min="3086" max="3090" width="17.5703125" style="29" customWidth="1"/>
    <col min="3091" max="3091" width="19.7109375" style="29" customWidth="1"/>
    <col min="3092" max="3092" width="17.42578125" style="29" customWidth="1"/>
    <col min="3093" max="3093" width="12.85546875" style="29" customWidth="1"/>
    <col min="3094" max="3099" width="11.5703125" style="29" customWidth="1"/>
    <col min="3100" max="3328" width="9.140625" style="29"/>
    <col min="3329" max="3329" width="3.5703125" style="29" customWidth="1"/>
    <col min="3330" max="3330" width="2.7109375" style="29" customWidth="1"/>
    <col min="3331" max="3331" width="15" style="29" customWidth="1"/>
    <col min="3332" max="3332" width="68.5703125" style="29" customWidth="1"/>
    <col min="3333" max="3333" width="23" style="29" customWidth="1"/>
    <col min="3334" max="3334" width="22.140625" style="29" customWidth="1"/>
    <col min="3335" max="3335" width="22.42578125" style="29" customWidth="1"/>
    <col min="3336" max="3336" width="17.5703125" style="29" customWidth="1"/>
    <col min="3337" max="3337" width="20.7109375" style="29" customWidth="1"/>
    <col min="3338" max="3340" width="17.5703125" style="29" customWidth="1"/>
    <col min="3341" max="3341" width="16.140625" style="29" customWidth="1"/>
    <col min="3342" max="3346" width="17.5703125" style="29" customWidth="1"/>
    <col min="3347" max="3347" width="19.7109375" style="29" customWidth="1"/>
    <col min="3348" max="3348" width="17.42578125" style="29" customWidth="1"/>
    <col min="3349" max="3349" width="12.85546875" style="29" customWidth="1"/>
    <col min="3350" max="3355" width="11.5703125" style="29" customWidth="1"/>
    <col min="3356" max="3584" width="9.140625" style="29"/>
    <col min="3585" max="3585" width="3.5703125" style="29" customWidth="1"/>
    <col min="3586" max="3586" width="2.7109375" style="29" customWidth="1"/>
    <col min="3587" max="3587" width="15" style="29" customWidth="1"/>
    <col min="3588" max="3588" width="68.5703125" style="29" customWidth="1"/>
    <col min="3589" max="3589" width="23" style="29" customWidth="1"/>
    <col min="3590" max="3590" width="22.140625" style="29" customWidth="1"/>
    <col min="3591" max="3591" width="22.42578125" style="29" customWidth="1"/>
    <col min="3592" max="3592" width="17.5703125" style="29" customWidth="1"/>
    <col min="3593" max="3593" width="20.7109375" style="29" customWidth="1"/>
    <col min="3594" max="3596" width="17.5703125" style="29" customWidth="1"/>
    <col min="3597" max="3597" width="16.140625" style="29" customWidth="1"/>
    <col min="3598" max="3602" width="17.5703125" style="29" customWidth="1"/>
    <col min="3603" max="3603" width="19.7109375" style="29" customWidth="1"/>
    <col min="3604" max="3604" width="17.42578125" style="29" customWidth="1"/>
    <col min="3605" max="3605" width="12.85546875" style="29" customWidth="1"/>
    <col min="3606" max="3611" width="11.5703125" style="29" customWidth="1"/>
    <col min="3612" max="3840" width="9.140625" style="29"/>
    <col min="3841" max="3841" width="3.5703125" style="29" customWidth="1"/>
    <col min="3842" max="3842" width="2.7109375" style="29" customWidth="1"/>
    <col min="3843" max="3843" width="15" style="29" customWidth="1"/>
    <col min="3844" max="3844" width="68.5703125" style="29" customWidth="1"/>
    <col min="3845" max="3845" width="23" style="29" customWidth="1"/>
    <col min="3846" max="3846" width="22.140625" style="29" customWidth="1"/>
    <col min="3847" max="3847" width="22.42578125" style="29" customWidth="1"/>
    <col min="3848" max="3848" width="17.5703125" style="29" customWidth="1"/>
    <col min="3849" max="3849" width="20.7109375" style="29" customWidth="1"/>
    <col min="3850" max="3852" width="17.5703125" style="29" customWidth="1"/>
    <col min="3853" max="3853" width="16.140625" style="29" customWidth="1"/>
    <col min="3854" max="3858" width="17.5703125" style="29" customWidth="1"/>
    <col min="3859" max="3859" width="19.7109375" style="29" customWidth="1"/>
    <col min="3860" max="3860" width="17.42578125" style="29" customWidth="1"/>
    <col min="3861" max="3861" width="12.85546875" style="29" customWidth="1"/>
    <col min="3862" max="3867" width="11.5703125" style="29" customWidth="1"/>
    <col min="3868" max="4096" width="9.140625" style="29"/>
    <col min="4097" max="4097" width="3.5703125" style="29" customWidth="1"/>
    <col min="4098" max="4098" width="2.7109375" style="29" customWidth="1"/>
    <col min="4099" max="4099" width="15" style="29" customWidth="1"/>
    <col min="4100" max="4100" width="68.5703125" style="29" customWidth="1"/>
    <col min="4101" max="4101" width="23" style="29" customWidth="1"/>
    <col min="4102" max="4102" width="22.140625" style="29" customWidth="1"/>
    <col min="4103" max="4103" width="22.42578125" style="29" customWidth="1"/>
    <col min="4104" max="4104" width="17.5703125" style="29" customWidth="1"/>
    <col min="4105" max="4105" width="20.7109375" style="29" customWidth="1"/>
    <col min="4106" max="4108" width="17.5703125" style="29" customWidth="1"/>
    <col min="4109" max="4109" width="16.140625" style="29" customWidth="1"/>
    <col min="4110" max="4114" width="17.5703125" style="29" customWidth="1"/>
    <col min="4115" max="4115" width="19.7109375" style="29" customWidth="1"/>
    <col min="4116" max="4116" width="17.42578125" style="29" customWidth="1"/>
    <col min="4117" max="4117" width="12.85546875" style="29" customWidth="1"/>
    <col min="4118" max="4123" width="11.5703125" style="29" customWidth="1"/>
    <col min="4124" max="4352" width="9.140625" style="29"/>
    <col min="4353" max="4353" width="3.5703125" style="29" customWidth="1"/>
    <col min="4354" max="4354" width="2.7109375" style="29" customWidth="1"/>
    <col min="4355" max="4355" width="15" style="29" customWidth="1"/>
    <col min="4356" max="4356" width="68.5703125" style="29" customWidth="1"/>
    <col min="4357" max="4357" width="23" style="29" customWidth="1"/>
    <col min="4358" max="4358" width="22.140625" style="29" customWidth="1"/>
    <col min="4359" max="4359" width="22.42578125" style="29" customWidth="1"/>
    <col min="4360" max="4360" width="17.5703125" style="29" customWidth="1"/>
    <col min="4361" max="4361" width="20.7109375" style="29" customWidth="1"/>
    <col min="4362" max="4364" width="17.5703125" style="29" customWidth="1"/>
    <col min="4365" max="4365" width="16.140625" style="29" customWidth="1"/>
    <col min="4366" max="4370" width="17.5703125" style="29" customWidth="1"/>
    <col min="4371" max="4371" width="19.7109375" style="29" customWidth="1"/>
    <col min="4372" max="4372" width="17.42578125" style="29" customWidth="1"/>
    <col min="4373" max="4373" width="12.85546875" style="29" customWidth="1"/>
    <col min="4374" max="4379" width="11.5703125" style="29" customWidth="1"/>
    <col min="4380" max="4608" width="9.140625" style="29"/>
    <col min="4609" max="4609" width="3.5703125" style="29" customWidth="1"/>
    <col min="4610" max="4610" width="2.7109375" style="29" customWidth="1"/>
    <col min="4611" max="4611" width="15" style="29" customWidth="1"/>
    <col min="4612" max="4612" width="68.5703125" style="29" customWidth="1"/>
    <col min="4613" max="4613" width="23" style="29" customWidth="1"/>
    <col min="4614" max="4614" width="22.140625" style="29" customWidth="1"/>
    <col min="4615" max="4615" width="22.42578125" style="29" customWidth="1"/>
    <col min="4616" max="4616" width="17.5703125" style="29" customWidth="1"/>
    <col min="4617" max="4617" width="20.7109375" style="29" customWidth="1"/>
    <col min="4618" max="4620" width="17.5703125" style="29" customWidth="1"/>
    <col min="4621" max="4621" width="16.140625" style="29" customWidth="1"/>
    <col min="4622" max="4626" width="17.5703125" style="29" customWidth="1"/>
    <col min="4627" max="4627" width="19.7109375" style="29" customWidth="1"/>
    <col min="4628" max="4628" width="17.42578125" style="29" customWidth="1"/>
    <col min="4629" max="4629" width="12.85546875" style="29" customWidth="1"/>
    <col min="4630" max="4635" width="11.5703125" style="29" customWidth="1"/>
    <col min="4636" max="4864" width="9.140625" style="29"/>
    <col min="4865" max="4865" width="3.5703125" style="29" customWidth="1"/>
    <col min="4866" max="4866" width="2.7109375" style="29" customWidth="1"/>
    <col min="4867" max="4867" width="15" style="29" customWidth="1"/>
    <col min="4868" max="4868" width="68.5703125" style="29" customWidth="1"/>
    <col min="4869" max="4869" width="23" style="29" customWidth="1"/>
    <col min="4870" max="4870" width="22.140625" style="29" customWidth="1"/>
    <col min="4871" max="4871" width="22.42578125" style="29" customWidth="1"/>
    <col min="4872" max="4872" width="17.5703125" style="29" customWidth="1"/>
    <col min="4873" max="4873" width="20.7109375" style="29" customWidth="1"/>
    <col min="4874" max="4876" width="17.5703125" style="29" customWidth="1"/>
    <col min="4877" max="4877" width="16.140625" style="29" customWidth="1"/>
    <col min="4878" max="4882" width="17.5703125" style="29" customWidth="1"/>
    <col min="4883" max="4883" width="19.7109375" style="29" customWidth="1"/>
    <col min="4884" max="4884" width="17.42578125" style="29" customWidth="1"/>
    <col min="4885" max="4885" width="12.85546875" style="29" customWidth="1"/>
    <col min="4886" max="4891" width="11.5703125" style="29" customWidth="1"/>
    <col min="4892" max="5120" width="9.140625" style="29"/>
    <col min="5121" max="5121" width="3.5703125" style="29" customWidth="1"/>
    <col min="5122" max="5122" width="2.7109375" style="29" customWidth="1"/>
    <col min="5123" max="5123" width="15" style="29" customWidth="1"/>
    <col min="5124" max="5124" width="68.5703125" style="29" customWidth="1"/>
    <col min="5125" max="5125" width="23" style="29" customWidth="1"/>
    <col min="5126" max="5126" width="22.140625" style="29" customWidth="1"/>
    <col min="5127" max="5127" width="22.42578125" style="29" customWidth="1"/>
    <col min="5128" max="5128" width="17.5703125" style="29" customWidth="1"/>
    <col min="5129" max="5129" width="20.7109375" style="29" customWidth="1"/>
    <col min="5130" max="5132" width="17.5703125" style="29" customWidth="1"/>
    <col min="5133" max="5133" width="16.140625" style="29" customWidth="1"/>
    <col min="5134" max="5138" width="17.5703125" style="29" customWidth="1"/>
    <col min="5139" max="5139" width="19.7109375" style="29" customWidth="1"/>
    <col min="5140" max="5140" width="17.42578125" style="29" customWidth="1"/>
    <col min="5141" max="5141" width="12.85546875" style="29" customWidth="1"/>
    <col min="5142" max="5147" width="11.5703125" style="29" customWidth="1"/>
    <col min="5148" max="5376" width="9.140625" style="29"/>
    <col min="5377" max="5377" width="3.5703125" style="29" customWidth="1"/>
    <col min="5378" max="5378" width="2.7109375" style="29" customWidth="1"/>
    <col min="5379" max="5379" width="15" style="29" customWidth="1"/>
    <col min="5380" max="5380" width="68.5703125" style="29" customWidth="1"/>
    <col min="5381" max="5381" width="23" style="29" customWidth="1"/>
    <col min="5382" max="5382" width="22.140625" style="29" customWidth="1"/>
    <col min="5383" max="5383" width="22.42578125" style="29" customWidth="1"/>
    <col min="5384" max="5384" width="17.5703125" style="29" customWidth="1"/>
    <col min="5385" max="5385" width="20.7109375" style="29" customWidth="1"/>
    <col min="5386" max="5388" width="17.5703125" style="29" customWidth="1"/>
    <col min="5389" max="5389" width="16.140625" style="29" customWidth="1"/>
    <col min="5390" max="5394" width="17.5703125" style="29" customWidth="1"/>
    <col min="5395" max="5395" width="19.7109375" style="29" customWidth="1"/>
    <col min="5396" max="5396" width="17.42578125" style="29" customWidth="1"/>
    <col min="5397" max="5397" width="12.85546875" style="29" customWidth="1"/>
    <col min="5398" max="5403" width="11.5703125" style="29" customWidth="1"/>
    <col min="5404" max="5632" width="9.140625" style="29"/>
    <col min="5633" max="5633" width="3.5703125" style="29" customWidth="1"/>
    <col min="5634" max="5634" width="2.7109375" style="29" customWidth="1"/>
    <col min="5635" max="5635" width="15" style="29" customWidth="1"/>
    <col min="5636" max="5636" width="68.5703125" style="29" customWidth="1"/>
    <col min="5637" max="5637" width="23" style="29" customWidth="1"/>
    <col min="5638" max="5638" width="22.140625" style="29" customWidth="1"/>
    <col min="5639" max="5639" width="22.42578125" style="29" customWidth="1"/>
    <col min="5640" max="5640" width="17.5703125" style="29" customWidth="1"/>
    <col min="5641" max="5641" width="20.7109375" style="29" customWidth="1"/>
    <col min="5642" max="5644" width="17.5703125" style="29" customWidth="1"/>
    <col min="5645" max="5645" width="16.140625" style="29" customWidth="1"/>
    <col min="5646" max="5650" width="17.5703125" style="29" customWidth="1"/>
    <col min="5651" max="5651" width="19.7109375" style="29" customWidth="1"/>
    <col min="5652" max="5652" width="17.42578125" style="29" customWidth="1"/>
    <col min="5653" max="5653" width="12.85546875" style="29" customWidth="1"/>
    <col min="5654" max="5659" width="11.5703125" style="29" customWidth="1"/>
    <col min="5660" max="5888" width="9.140625" style="29"/>
    <col min="5889" max="5889" width="3.5703125" style="29" customWidth="1"/>
    <col min="5890" max="5890" width="2.7109375" style="29" customWidth="1"/>
    <col min="5891" max="5891" width="15" style="29" customWidth="1"/>
    <col min="5892" max="5892" width="68.5703125" style="29" customWidth="1"/>
    <col min="5893" max="5893" width="23" style="29" customWidth="1"/>
    <col min="5894" max="5894" width="22.140625" style="29" customWidth="1"/>
    <col min="5895" max="5895" width="22.42578125" style="29" customWidth="1"/>
    <col min="5896" max="5896" width="17.5703125" style="29" customWidth="1"/>
    <col min="5897" max="5897" width="20.7109375" style="29" customWidth="1"/>
    <col min="5898" max="5900" width="17.5703125" style="29" customWidth="1"/>
    <col min="5901" max="5901" width="16.140625" style="29" customWidth="1"/>
    <col min="5902" max="5906" width="17.5703125" style="29" customWidth="1"/>
    <col min="5907" max="5907" width="19.7109375" style="29" customWidth="1"/>
    <col min="5908" max="5908" width="17.42578125" style="29" customWidth="1"/>
    <col min="5909" max="5909" width="12.85546875" style="29" customWidth="1"/>
    <col min="5910" max="5915" width="11.5703125" style="29" customWidth="1"/>
    <col min="5916" max="6144" width="9.140625" style="29"/>
    <col min="6145" max="6145" width="3.5703125" style="29" customWidth="1"/>
    <col min="6146" max="6146" width="2.7109375" style="29" customWidth="1"/>
    <col min="6147" max="6147" width="15" style="29" customWidth="1"/>
    <col min="6148" max="6148" width="68.5703125" style="29" customWidth="1"/>
    <col min="6149" max="6149" width="23" style="29" customWidth="1"/>
    <col min="6150" max="6150" width="22.140625" style="29" customWidth="1"/>
    <col min="6151" max="6151" width="22.42578125" style="29" customWidth="1"/>
    <col min="6152" max="6152" width="17.5703125" style="29" customWidth="1"/>
    <col min="6153" max="6153" width="20.7109375" style="29" customWidth="1"/>
    <col min="6154" max="6156" width="17.5703125" style="29" customWidth="1"/>
    <col min="6157" max="6157" width="16.140625" style="29" customWidth="1"/>
    <col min="6158" max="6162" width="17.5703125" style="29" customWidth="1"/>
    <col min="6163" max="6163" width="19.7109375" style="29" customWidth="1"/>
    <col min="6164" max="6164" width="17.42578125" style="29" customWidth="1"/>
    <col min="6165" max="6165" width="12.85546875" style="29" customWidth="1"/>
    <col min="6166" max="6171" width="11.5703125" style="29" customWidth="1"/>
    <col min="6172" max="6400" width="9.140625" style="29"/>
    <col min="6401" max="6401" width="3.5703125" style="29" customWidth="1"/>
    <col min="6402" max="6402" width="2.7109375" style="29" customWidth="1"/>
    <col min="6403" max="6403" width="15" style="29" customWidth="1"/>
    <col min="6404" max="6404" width="68.5703125" style="29" customWidth="1"/>
    <col min="6405" max="6405" width="23" style="29" customWidth="1"/>
    <col min="6406" max="6406" width="22.140625" style="29" customWidth="1"/>
    <col min="6407" max="6407" width="22.42578125" style="29" customWidth="1"/>
    <col min="6408" max="6408" width="17.5703125" style="29" customWidth="1"/>
    <col min="6409" max="6409" width="20.7109375" style="29" customWidth="1"/>
    <col min="6410" max="6412" width="17.5703125" style="29" customWidth="1"/>
    <col min="6413" max="6413" width="16.140625" style="29" customWidth="1"/>
    <col min="6414" max="6418" width="17.5703125" style="29" customWidth="1"/>
    <col min="6419" max="6419" width="19.7109375" style="29" customWidth="1"/>
    <col min="6420" max="6420" width="17.42578125" style="29" customWidth="1"/>
    <col min="6421" max="6421" width="12.85546875" style="29" customWidth="1"/>
    <col min="6422" max="6427" width="11.5703125" style="29" customWidth="1"/>
    <col min="6428" max="6656" width="9.140625" style="29"/>
    <col min="6657" max="6657" width="3.5703125" style="29" customWidth="1"/>
    <col min="6658" max="6658" width="2.7109375" style="29" customWidth="1"/>
    <col min="6659" max="6659" width="15" style="29" customWidth="1"/>
    <col min="6660" max="6660" width="68.5703125" style="29" customWidth="1"/>
    <col min="6661" max="6661" width="23" style="29" customWidth="1"/>
    <col min="6662" max="6662" width="22.140625" style="29" customWidth="1"/>
    <col min="6663" max="6663" width="22.42578125" style="29" customWidth="1"/>
    <col min="6664" max="6664" width="17.5703125" style="29" customWidth="1"/>
    <col min="6665" max="6665" width="20.7109375" style="29" customWidth="1"/>
    <col min="6666" max="6668" width="17.5703125" style="29" customWidth="1"/>
    <col min="6669" max="6669" width="16.140625" style="29" customWidth="1"/>
    <col min="6670" max="6674" width="17.5703125" style="29" customWidth="1"/>
    <col min="6675" max="6675" width="19.7109375" style="29" customWidth="1"/>
    <col min="6676" max="6676" width="17.42578125" style="29" customWidth="1"/>
    <col min="6677" max="6677" width="12.85546875" style="29" customWidth="1"/>
    <col min="6678" max="6683" width="11.5703125" style="29" customWidth="1"/>
    <col min="6684" max="6912" width="9.140625" style="29"/>
    <col min="6913" max="6913" width="3.5703125" style="29" customWidth="1"/>
    <col min="6914" max="6914" width="2.7109375" style="29" customWidth="1"/>
    <col min="6915" max="6915" width="15" style="29" customWidth="1"/>
    <col min="6916" max="6916" width="68.5703125" style="29" customWidth="1"/>
    <col min="6917" max="6917" width="23" style="29" customWidth="1"/>
    <col min="6918" max="6918" width="22.140625" style="29" customWidth="1"/>
    <col min="6919" max="6919" width="22.42578125" style="29" customWidth="1"/>
    <col min="6920" max="6920" width="17.5703125" style="29" customWidth="1"/>
    <col min="6921" max="6921" width="20.7109375" style="29" customWidth="1"/>
    <col min="6922" max="6924" width="17.5703125" style="29" customWidth="1"/>
    <col min="6925" max="6925" width="16.140625" style="29" customWidth="1"/>
    <col min="6926" max="6930" width="17.5703125" style="29" customWidth="1"/>
    <col min="6931" max="6931" width="19.7109375" style="29" customWidth="1"/>
    <col min="6932" max="6932" width="17.42578125" style="29" customWidth="1"/>
    <col min="6933" max="6933" width="12.85546875" style="29" customWidth="1"/>
    <col min="6934" max="6939" width="11.5703125" style="29" customWidth="1"/>
    <col min="6940" max="7168" width="9.140625" style="29"/>
    <col min="7169" max="7169" width="3.5703125" style="29" customWidth="1"/>
    <col min="7170" max="7170" width="2.7109375" style="29" customWidth="1"/>
    <col min="7171" max="7171" width="15" style="29" customWidth="1"/>
    <col min="7172" max="7172" width="68.5703125" style="29" customWidth="1"/>
    <col min="7173" max="7173" width="23" style="29" customWidth="1"/>
    <col min="7174" max="7174" width="22.140625" style="29" customWidth="1"/>
    <col min="7175" max="7175" width="22.42578125" style="29" customWidth="1"/>
    <col min="7176" max="7176" width="17.5703125" style="29" customWidth="1"/>
    <col min="7177" max="7177" width="20.7109375" style="29" customWidth="1"/>
    <col min="7178" max="7180" width="17.5703125" style="29" customWidth="1"/>
    <col min="7181" max="7181" width="16.140625" style="29" customWidth="1"/>
    <col min="7182" max="7186" width="17.5703125" style="29" customWidth="1"/>
    <col min="7187" max="7187" width="19.7109375" style="29" customWidth="1"/>
    <col min="7188" max="7188" width="17.42578125" style="29" customWidth="1"/>
    <col min="7189" max="7189" width="12.85546875" style="29" customWidth="1"/>
    <col min="7190" max="7195" width="11.5703125" style="29" customWidth="1"/>
    <col min="7196" max="7424" width="9.140625" style="29"/>
    <col min="7425" max="7425" width="3.5703125" style="29" customWidth="1"/>
    <col min="7426" max="7426" width="2.7109375" style="29" customWidth="1"/>
    <col min="7427" max="7427" width="15" style="29" customWidth="1"/>
    <col min="7428" max="7428" width="68.5703125" style="29" customWidth="1"/>
    <col min="7429" max="7429" width="23" style="29" customWidth="1"/>
    <col min="7430" max="7430" width="22.140625" style="29" customWidth="1"/>
    <col min="7431" max="7431" width="22.42578125" style="29" customWidth="1"/>
    <col min="7432" max="7432" width="17.5703125" style="29" customWidth="1"/>
    <col min="7433" max="7433" width="20.7109375" style="29" customWidth="1"/>
    <col min="7434" max="7436" width="17.5703125" style="29" customWidth="1"/>
    <col min="7437" max="7437" width="16.140625" style="29" customWidth="1"/>
    <col min="7438" max="7442" width="17.5703125" style="29" customWidth="1"/>
    <col min="7443" max="7443" width="19.7109375" style="29" customWidth="1"/>
    <col min="7444" max="7444" width="17.42578125" style="29" customWidth="1"/>
    <col min="7445" max="7445" width="12.85546875" style="29" customWidth="1"/>
    <col min="7446" max="7451" width="11.5703125" style="29" customWidth="1"/>
    <col min="7452" max="7680" width="9.140625" style="29"/>
    <col min="7681" max="7681" width="3.5703125" style="29" customWidth="1"/>
    <col min="7682" max="7682" width="2.7109375" style="29" customWidth="1"/>
    <col min="7683" max="7683" width="15" style="29" customWidth="1"/>
    <col min="7684" max="7684" width="68.5703125" style="29" customWidth="1"/>
    <col min="7685" max="7685" width="23" style="29" customWidth="1"/>
    <col min="7686" max="7686" width="22.140625" style="29" customWidth="1"/>
    <col min="7687" max="7687" width="22.42578125" style="29" customWidth="1"/>
    <col min="7688" max="7688" width="17.5703125" style="29" customWidth="1"/>
    <col min="7689" max="7689" width="20.7109375" style="29" customWidth="1"/>
    <col min="7690" max="7692" width="17.5703125" style="29" customWidth="1"/>
    <col min="7693" max="7693" width="16.140625" style="29" customWidth="1"/>
    <col min="7694" max="7698" width="17.5703125" style="29" customWidth="1"/>
    <col min="7699" max="7699" width="19.7109375" style="29" customWidth="1"/>
    <col min="7700" max="7700" width="17.42578125" style="29" customWidth="1"/>
    <col min="7701" max="7701" width="12.85546875" style="29" customWidth="1"/>
    <col min="7702" max="7707" width="11.5703125" style="29" customWidth="1"/>
    <col min="7708" max="7936" width="9.140625" style="29"/>
    <col min="7937" max="7937" width="3.5703125" style="29" customWidth="1"/>
    <col min="7938" max="7938" width="2.7109375" style="29" customWidth="1"/>
    <col min="7939" max="7939" width="15" style="29" customWidth="1"/>
    <col min="7940" max="7940" width="68.5703125" style="29" customWidth="1"/>
    <col min="7941" max="7941" width="23" style="29" customWidth="1"/>
    <col min="7942" max="7942" width="22.140625" style="29" customWidth="1"/>
    <col min="7943" max="7943" width="22.42578125" style="29" customWidth="1"/>
    <col min="7944" max="7944" width="17.5703125" style="29" customWidth="1"/>
    <col min="7945" max="7945" width="20.7109375" style="29" customWidth="1"/>
    <col min="7946" max="7948" width="17.5703125" style="29" customWidth="1"/>
    <col min="7949" max="7949" width="16.140625" style="29" customWidth="1"/>
    <col min="7950" max="7954" width="17.5703125" style="29" customWidth="1"/>
    <col min="7955" max="7955" width="19.7109375" style="29" customWidth="1"/>
    <col min="7956" max="7956" width="17.42578125" style="29" customWidth="1"/>
    <col min="7957" max="7957" width="12.85546875" style="29" customWidth="1"/>
    <col min="7958" max="7963" width="11.5703125" style="29" customWidth="1"/>
    <col min="7964" max="8192" width="9.140625" style="29"/>
    <col min="8193" max="8193" width="3.5703125" style="29" customWidth="1"/>
    <col min="8194" max="8194" width="2.7109375" style="29" customWidth="1"/>
    <col min="8195" max="8195" width="15" style="29" customWidth="1"/>
    <col min="8196" max="8196" width="68.5703125" style="29" customWidth="1"/>
    <col min="8197" max="8197" width="23" style="29" customWidth="1"/>
    <col min="8198" max="8198" width="22.140625" style="29" customWidth="1"/>
    <col min="8199" max="8199" width="22.42578125" style="29" customWidth="1"/>
    <col min="8200" max="8200" width="17.5703125" style="29" customWidth="1"/>
    <col min="8201" max="8201" width="20.7109375" style="29" customWidth="1"/>
    <col min="8202" max="8204" width="17.5703125" style="29" customWidth="1"/>
    <col min="8205" max="8205" width="16.140625" style="29" customWidth="1"/>
    <col min="8206" max="8210" width="17.5703125" style="29" customWidth="1"/>
    <col min="8211" max="8211" width="19.7109375" style="29" customWidth="1"/>
    <col min="8212" max="8212" width="17.42578125" style="29" customWidth="1"/>
    <col min="8213" max="8213" width="12.85546875" style="29" customWidth="1"/>
    <col min="8214" max="8219" width="11.5703125" style="29" customWidth="1"/>
    <col min="8220" max="8448" width="9.140625" style="29"/>
    <col min="8449" max="8449" width="3.5703125" style="29" customWidth="1"/>
    <col min="8450" max="8450" width="2.7109375" style="29" customWidth="1"/>
    <col min="8451" max="8451" width="15" style="29" customWidth="1"/>
    <col min="8452" max="8452" width="68.5703125" style="29" customWidth="1"/>
    <col min="8453" max="8453" width="23" style="29" customWidth="1"/>
    <col min="8454" max="8454" width="22.140625" style="29" customWidth="1"/>
    <col min="8455" max="8455" width="22.42578125" style="29" customWidth="1"/>
    <col min="8456" max="8456" width="17.5703125" style="29" customWidth="1"/>
    <col min="8457" max="8457" width="20.7109375" style="29" customWidth="1"/>
    <col min="8458" max="8460" width="17.5703125" style="29" customWidth="1"/>
    <col min="8461" max="8461" width="16.140625" style="29" customWidth="1"/>
    <col min="8462" max="8466" width="17.5703125" style="29" customWidth="1"/>
    <col min="8467" max="8467" width="19.7109375" style="29" customWidth="1"/>
    <col min="8468" max="8468" width="17.42578125" style="29" customWidth="1"/>
    <col min="8469" max="8469" width="12.85546875" style="29" customWidth="1"/>
    <col min="8470" max="8475" width="11.5703125" style="29" customWidth="1"/>
    <col min="8476" max="8704" width="9.140625" style="29"/>
    <col min="8705" max="8705" width="3.5703125" style="29" customWidth="1"/>
    <col min="8706" max="8706" width="2.7109375" style="29" customWidth="1"/>
    <col min="8707" max="8707" width="15" style="29" customWidth="1"/>
    <col min="8708" max="8708" width="68.5703125" style="29" customWidth="1"/>
    <col min="8709" max="8709" width="23" style="29" customWidth="1"/>
    <col min="8710" max="8710" width="22.140625" style="29" customWidth="1"/>
    <col min="8711" max="8711" width="22.42578125" style="29" customWidth="1"/>
    <col min="8712" max="8712" width="17.5703125" style="29" customWidth="1"/>
    <col min="8713" max="8713" width="20.7109375" style="29" customWidth="1"/>
    <col min="8714" max="8716" width="17.5703125" style="29" customWidth="1"/>
    <col min="8717" max="8717" width="16.140625" style="29" customWidth="1"/>
    <col min="8718" max="8722" width="17.5703125" style="29" customWidth="1"/>
    <col min="8723" max="8723" width="19.7109375" style="29" customWidth="1"/>
    <col min="8724" max="8724" width="17.42578125" style="29" customWidth="1"/>
    <col min="8725" max="8725" width="12.85546875" style="29" customWidth="1"/>
    <col min="8726" max="8731" width="11.5703125" style="29" customWidth="1"/>
    <col min="8732" max="8960" width="9.140625" style="29"/>
    <col min="8961" max="8961" width="3.5703125" style="29" customWidth="1"/>
    <col min="8962" max="8962" width="2.7109375" style="29" customWidth="1"/>
    <col min="8963" max="8963" width="15" style="29" customWidth="1"/>
    <col min="8964" max="8964" width="68.5703125" style="29" customWidth="1"/>
    <col min="8965" max="8965" width="23" style="29" customWidth="1"/>
    <col min="8966" max="8966" width="22.140625" style="29" customWidth="1"/>
    <col min="8967" max="8967" width="22.42578125" style="29" customWidth="1"/>
    <col min="8968" max="8968" width="17.5703125" style="29" customWidth="1"/>
    <col min="8969" max="8969" width="20.7109375" style="29" customWidth="1"/>
    <col min="8970" max="8972" width="17.5703125" style="29" customWidth="1"/>
    <col min="8973" max="8973" width="16.140625" style="29" customWidth="1"/>
    <col min="8974" max="8978" width="17.5703125" style="29" customWidth="1"/>
    <col min="8979" max="8979" width="19.7109375" style="29" customWidth="1"/>
    <col min="8980" max="8980" width="17.42578125" style="29" customWidth="1"/>
    <col min="8981" max="8981" width="12.85546875" style="29" customWidth="1"/>
    <col min="8982" max="8987" width="11.5703125" style="29" customWidth="1"/>
    <col min="8988" max="9216" width="9.140625" style="29"/>
    <col min="9217" max="9217" width="3.5703125" style="29" customWidth="1"/>
    <col min="9218" max="9218" width="2.7109375" style="29" customWidth="1"/>
    <col min="9219" max="9219" width="15" style="29" customWidth="1"/>
    <col min="9220" max="9220" width="68.5703125" style="29" customWidth="1"/>
    <col min="9221" max="9221" width="23" style="29" customWidth="1"/>
    <col min="9222" max="9222" width="22.140625" style="29" customWidth="1"/>
    <col min="9223" max="9223" width="22.42578125" style="29" customWidth="1"/>
    <col min="9224" max="9224" width="17.5703125" style="29" customWidth="1"/>
    <col min="9225" max="9225" width="20.7109375" style="29" customWidth="1"/>
    <col min="9226" max="9228" width="17.5703125" style="29" customWidth="1"/>
    <col min="9229" max="9229" width="16.140625" style="29" customWidth="1"/>
    <col min="9230" max="9234" width="17.5703125" style="29" customWidth="1"/>
    <col min="9235" max="9235" width="19.7109375" style="29" customWidth="1"/>
    <col min="9236" max="9236" width="17.42578125" style="29" customWidth="1"/>
    <col min="9237" max="9237" width="12.85546875" style="29" customWidth="1"/>
    <col min="9238" max="9243" width="11.5703125" style="29" customWidth="1"/>
    <col min="9244" max="9472" width="9.140625" style="29"/>
    <col min="9473" max="9473" width="3.5703125" style="29" customWidth="1"/>
    <col min="9474" max="9474" width="2.7109375" style="29" customWidth="1"/>
    <col min="9475" max="9475" width="15" style="29" customWidth="1"/>
    <col min="9476" max="9476" width="68.5703125" style="29" customWidth="1"/>
    <col min="9477" max="9477" width="23" style="29" customWidth="1"/>
    <col min="9478" max="9478" width="22.140625" style="29" customWidth="1"/>
    <col min="9479" max="9479" width="22.42578125" style="29" customWidth="1"/>
    <col min="9480" max="9480" width="17.5703125" style="29" customWidth="1"/>
    <col min="9481" max="9481" width="20.7109375" style="29" customWidth="1"/>
    <col min="9482" max="9484" width="17.5703125" style="29" customWidth="1"/>
    <col min="9485" max="9485" width="16.140625" style="29" customWidth="1"/>
    <col min="9486" max="9490" width="17.5703125" style="29" customWidth="1"/>
    <col min="9491" max="9491" width="19.7109375" style="29" customWidth="1"/>
    <col min="9492" max="9492" width="17.42578125" style="29" customWidth="1"/>
    <col min="9493" max="9493" width="12.85546875" style="29" customWidth="1"/>
    <col min="9494" max="9499" width="11.5703125" style="29" customWidth="1"/>
    <col min="9500" max="9728" width="9.140625" style="29"/>
    <col min="9729" max="9729" width="3.5703125" style="29" customWidth="1"/>
    <col min="9730" max="9730" width="2.7109375" style="29" customWidth="1"/>
    <col min="9731" max="9731" width="15" style="29" customWidth="1"/>
    <col min="9732" max="9732" width="68.5703125" style="29" customWidth="1"/>
    <col min="9733" max="9733" width="23" style="29" customWidth="1"/>
    <col min="9734" max="9734" width="22.140625" style="29" customWidth="1"/>
    <col min="9735" max="9735" width="22.42578125" style="29" customWidth="1"/>
    <col min="9736" max="9736" width="17.5703125" style="29" customWidth="1"/>
    <col min="9737" max="9737" width="20.7109375" style="29" customWidth="1"/>
    <col min="9738" max="9740" width="17.5703125" style="29" customWidth="1"/>
    <col min="9741" max="9741" width="16.140625" style="29" customWidth="1"/>
    <col min="9742" max="9746" width="17.5703125" style="29" customWidth="1"/>
    <col min="9747" max="9747" width="19.7109375" style="29" customWidth="1"/>
    <col min="9748" max="9748" width="17.42578125" style="29" customWidth="1"/>
    <col min="9749" max="9749" width="12.85546875" style="29" customWidth="1"/>
    <col min="9750" max="9755" width="11.5703125" style="29" customWidth="1"/>
    <col min="9756" max="9984" width="9.140625" style="29"/>
    <col min="9985" max="9985" width="3.5703125" style="29" customWidth="1"/>
    <col min="9986" max="9986" width="2.7109375" style="29" customWidth="1"/>
    <col min="9987" max="9987" width="15" style="29" customWidth="1"/>
    <col min="9988" max="9988" width="68.5703125" style="29" customWidth="1"/>
    <col min="9989" max="9989" width="23" style="29" customWidth="1"/>
    <col min="9990" max="9990" width="22.140625" style="29" customWidth="1"/>
    <col min="9991" max="9991" width="22.42578125" style="29" customWidth="1"/>
    <col min="9992" max="9992" width="17.5703125" style="29" customWidth="1"/>
    <col min="9993" max="9993" width="20.7109375" style="29" customWidth="1"/>
    <col min="9994" max="9996" width="17.5703125" style="29" customWidth="1"/>
    <col min="9997" max="9997" width="16.140625" style="29" customWidth="1"/>
    <col min="9998" max="10002" width="17.5703125" style="29" customWidth="1"/>
    <col min="10003" max="10003" width="19.7109375" style="29" customWidth="1"/>
    <col min="10004" max="10004" width="17.42578125" style="29" customWidth="1"/>
    <col min="10005" max="10005" width="12.85546875" style="29" customWidth="1"/>
    <col min="10006" max="10011" width="11.5703125" style="29" customWidth="1"/>
    <col min="10012" max="10240" width="9.140625" style="29"/>
    <col min="10241" max="10241" width="3.5703125" style="29" customWidth="1"/>
    <col min="10242" max="10242" width="2.7109375" style="29" customWidth="1"/>
    <col min="10243" max="10243" width="15" style="29" customWidth="1"/>
    <col min="10244" max="10244" width="68.5703125" style="29" customWidth="1"/>
    <col min="10245" max="10245" width="23" style="29" customWidth="1"/>
    <col min="10246" max="10246" width="22.140625" style="29" customWidth="1"/>
    <col min="10247" max="10247" width="22.42578125" style="29" customWidth="1"/>
    <col min="10248" max="10248" width="17.5703125" style="29" customWidth="1"/>
    <col min="10249" max="10249" width="20.7109375" style="29" customWidth="1"/>
    <col min="10250" max="10252" width="17.5703125" style="29" customWidth="1"/>
    <col min="10253" max="10253" width="16.140625" style="29" customWidth="1"/>
    <col min="10254" max="10258" width="17.5703125" style="29" customWidth="1"/>
    <col min="10259" max="10259" width="19.7109375" style="29" customWidth="1"/>
    <col min="10260" max="10260" width="17.42578125" style="29" customWidth="1"/>
    <col min="10261" max="10261" width="12.85546875" style="29" customWidth="1"/>
    <col min="10262" max="10267" width="11.5703125" style="29" customWidth="1"/>
    <col min="10268" max="10496" width="9.140625" style="29"/>
    <col min="10497" max="10497" width="3.5703125" style="29" customWidth="1"/>
    <col min="10498" max="10498" width="2.7109375" style="29" customWidth="1"/>
    <col min="10499" max="10499" width="15" style="29" customWidth="1"/>
    <col min="10500" max="10500" width="68.5703125" style="29" customWidth="1"/>
    <col min="10501" max="10501" width="23" style="29" customWidth="1"/>
    <col min="10502" max="10502" width="22.140625" style="29" customWidth="1"/>
    <col min="10503" max="10503" width="22.42578125" style="29" customWidth="1"/>
    <col min="10504" max="10504" width="17.5703125" style="29" customWidth="1"/>
    <col min="10505" max="10505" width="20.7109375" style="29" customWidth="1"/>
    <col min="10506" max="10508" width="17.5703125" style="29" customWidth="1"/>
    <col min="10509" max="10509" width="16.140625" style="29" customWidth="1"/>
    <col min="10510" max="10514" width="17.5703125" style="29" customWidth="1"/>
    <col min="10515" max="10515" width="19.7109375" style="29" customWidth="1"/>
    <col min="10516" max="10516" width="17.42578125" style="29" customWidth="1"/>
    <col min="10517" max="10517" width="12.85546875" style="29" customWidth="1"/>
    <col min="10518" max="10523" width="11.5703125" style="29" customWidth="1"/>
    <col min="10524" max="10752" width="9.140625" style="29"/>
    <col min="10753" max="10753" width="3.5703125" style="29" customWidth="1"/>
    <col min="10754" max="10754" width="2.7109375" style="29" customWidth="1"/>
    <col min="10755" max="10755" width="15" style="29" customWidth="1"/>
    <col min="10756" max="10756" width="68.5703125" style="29" customWidth="1"/>
    <col min="10757" max="10757" width="23" style="29" customWidth="1"/>
    <col min="10758" max="10758" width="22.140625" style="29" customWidth="1"/>
    <col min="10759" max="10759" width="22.42578125" style="29" customWidth="1"/>
    <col min="10760" max="10760" width="17.5703125" style="29" customWidth="1"/>
    <col min="10761" max="10761" width="20.7109375" style="29" customWidth="1"/>
    <col min="10762" max="10764" width="17.5703125" style="29" customWidth="1"/>
    <col min="10765" max="10765" width="16.140625" style="29" customWidth="1"/>
    <col min="10766" max="10770" width="17.5703125" style="29" customWidth="1"/>
    <col min="10771" max="10771" width="19.7109375" style="29" customWidth="1"/>
    <col min="10772" max="10772" width="17.42578125" style="29" customWidth="1"/>
    <col min="10773" max="10773" width="12.85546875" style="29" customWidth="1"/>
    <col min="10774" max="10779" width="11.5703125" style="29" customWidth="1"/>
    <col min="10780" max="11008" width="9.140625" style="29"/>
    <col min="11009" max="11009" width="3.5703125" style="29" customWidth="1"/>
    <col min="11010" max="11010" width="2.7109375" style="29" customWidth="1"/>
    <col min="11011" max="11011" width="15" style="29" customWidth="1"/>
    <col min="11012" max="11012" width="68.5703125" style="29" customWidth="1"/>
    <col min="11013" max="11013" width="23" style="29" customWidth="1"/>
    <col min="11014" max="11014" width="22.140625" style="29" customWidth="1"/>
    <col min="11015" max="11015" width="22.42578125" style="29" customWidth="1"/>
    <col min="11016" max="11016" width="17.5703125" style="29" customWidth="1"/>
    <col min="11017" max="11017" width="20.7109375" style="29" customWidth="1"/>
    <col min="11018" max="11020" width="17.5703125" style="29" customWidth="1"/>
    <col min="11021" max="11021" width="16.140625" style="29" customWidth="1"/>
    <col min="11022" max="11026" width="17.5703125" style="29" customWidth="1"/>
    <col min="11027" max="11027" width="19.7109375" style="29" customWidth="1"/>
    <col min="11028" max="11028" width="17.42578125" style="29" customWidth="1"/>
    <col min="11029" max="11029" width="12.85546875" style="29" customWidth="1"/>
    <col min="11030" max="11035" width="11.5703125" style="29" customWidth="1"/>
    <col min="11036" max="11264" width="9.140625" style="29"/>
    <col min="11265" max="11265" width="3.5703125" style="29" customWidth="1"/>
    <col min="11266" max="11266" width="2.7109375" style="29" customWidth="1"/>
    <col min="11267" max="11267" width="15" style="29" customWidth="1"/>
    <col min="11268" max="11268" width="68.5703125" style="29" customWidth="1"/>
    <col min="11269" max="11269" width="23" style="29" customWidth="1"/>
    <col min="11270" max="11270" width="22.140625" style="29" customWidth="1"/>
    <col min="11271" max="11271" width="22.42578125" style="29" customWidth="1"/>
    <col min="11272" max="11272" width="17.5703125" style="29" customWidth="1"/>
    <col min="11273" max="11273" width="20.7109375" style="29" customWidth="1"/>
    <col min="11274" max="11276" width="17.5703125" style="29" customWidth="1"/>
    <col min="11277" max="11277" width="16.140625" style="29" customWidth="1"/>
    <col min="11278" max="11282" width="17.5703125" style="29" customWidth="1"/>
    <col min="11283" max="11283" width="19.7109375" style="29" customWidth="1"/>
    <col min="11284" max="11284" width="17.42578125" style="29" customWidth="1"/>
    <col min="11285" max="11285" width="12.85546875" style="29" customWidth="1"/>
    <col min="11286" max="11291" width="11.5703125" style="29" customWidth="1"/>
    <col min="11292" max="11520" width="9.140625" style="29"/>
    <col min="11521" max="11521" width="3.5703125" style="29" customWidth="1"/>
    <col min="11522" max="11522" width="2.7109375" style="29" customWidth="1"/>
    <col min="11523" max="11523" width="15" style="29" customWidth="1"/>
    <col min="11524" max="11524" width="68.5703125" style="29" customWidth="1"/>
    <col min="11525" max="11525" width="23" style="29" customWidth="1"/>
    <col min="11526" max="11526" width="22.140625" style="29" customWidth="1"/>
    <col min="11527" max="11527" width="22.42578125" style="29" customWidth="1"/>
    <col min="11528" max="11528" width="17.5703125" style="29" customWidth="1"/>
    <col min="11529" max="11529" width="20.7109375" style="29" customWidth="1"/>
    <col min="11530" max="11532" width="17.5703125" style="29" customWidth="1"/>
    <col min="11533" max="11533" width="16.140625" style="29" customWidth="1"/>
    <col min="11534" max="11538" width="17.5703125" style="29" customWidth="1"/>
    <col min="11539" max="11539" width="19.7109375" style="29" customWidth="1"/>
    <col min="11540" max="11540" width="17.42578125" style="29" customWidth="1"/>
    <col min="11541" max="11541" width="12.85546875" style="29" customWidth="1"/>
    <col min="11542" max="11547" width="11.5703125" style="29" customWidth="1"/>
    <col min="11548" max="11776" width="9.140625" style="29"/>
    <col min="11777" max="11777" width="3.5703125" style="29" customWidth="1"/>
    <col min="11778" max="11778" width="2.7109375" style="29" customWidth="1"/>
    <col min="11779" max="11779" width="15" style="29" customWidth="1"/>
    <col min="11780" max="11780" width="68.5703125" style="29" customWidth="1"/>
    <col min="11781" max="11781" width="23" style="29" customWidth="1"/>
    <col min="11782" max="11782" width="22.140625" style="29" customWidth="1"/>
    <col min="11783" max="11783" width="22.42578125" style="29" customWidth="1"/>
    <col min="11784" max="11784" width="17.5703125" style="29" customWidth="1"/>
    <col min="11785" max="11785" width="20.7109375" style="29" customWidth="1"/>
    <col min="11786" max="11788" width="17.5703125" style="29" customWidth="1"/>
    <col min="11789" max="11789" width="16.140625" style="29" customWidth="1"/>
    <col min="11790" max="11794" width="17.5703125" style="29" customWidth="1"/>
    <col min="11795" max="11795" width="19.7109375" style="29" customWidth="1"/>
    <col min="11796" max="11796" width="17.42578125" style="29" customWidth="1"/>
    <col min="11797" max="11797" width="12.85546875" style="29" customWidth="1"/>
    <col min="11798" max="11803" width="11.5703125" style="29" customWidth="1"/>
    <col min="11804" max="12032" width="9.140625" style="29"/>
    <col min="12033" max="12033" width="3.5703125" style="29" customWidth="1"/>
    <col min="12034" max="12034" width="2.7109375" style="29" customWidth="1"/>
    <col min="12035" max="12035" width="15" style="29" customWidth="1"/>
    <col min="12036" max="12036" width="68.5703125" style="29" customWidth="1"/>
    <col min="12037" max="12037" width="23" style="29" customWidth="1"/>
    <col min="12038" max="12038" width="22.140625" style="29" customWidth="1"/>
    <col min="12039" max="12039" width="22.42578125" style="29" customWidth="1"/>
    <col min="12040" max="12040" width="17.5703125" style="29" customWidth="1"/>
    <col min="12041" max="12041" width="20.7109375" style="29" customWidth="1"/>
    <col min="12042" max="12044" width="17.5703125" style="29" customWidth="1"/>
    <col min="12045" max="12045" width="16.140625" style="29" customWidth="1"/>
    <col min="12046" max="12050" width="17.5703125" style="29" customWidth="1"/>
    <col min="12051" max="12051" width="19.7109375" style="29" customWidth="1"/>
    <col min="12052" max="12052" width="17.42578125" style="29" customWidth="1"/>
    <col min="12053" max="12053" width="12.85546875" style="29" customWidth="1"/>
    <col min="12054" max="12059" width="11.5703125" style="29" customWidth="1"/>
    <col min="12060" max="12288" width="9.140625" style="29"/>
    <col min="12289" max="12289" width="3.5703125" style="29" customWidth="1"/>
    <col min="12290" max="12290" width="2.7109375" style="29" customWidth="1"/>
    <col min="12291" max="12291" width="15" style="29" customWidth="1"/>
    <col min="12292" max="12292" width="68.5703125" style="29" customWidth="1"/>
    <col min="12293" max="12293" width="23" style="29" customWidth="1"/>
    <col min="12294" max="12294" width="22.140625" style="29" customWidth="1"/>
    <col min="12295" max="12295" width="22.42578125" style="29" customWidth="1"/>
    <col min="12296" max="12296" width="17.5703125" style="29" customWidth="1"/>
    <col min="12297" max="12297" width="20.7109375" style="29" customWidth="1"/>
    <col min="12298" max="12300" width="17.5703125" style="29" customWidth="1"/>
    <col min="12301" max="12301" width="16.140625" style="29" customWidth="1"/>
    <col min="12302" max="12306" width="17.5703125" style="29" customWidth="1"/>
    <col min="12307" max="12307" width="19.7109375" style="29" customWidth="1"/>
    <col min="12308" max="12308" width="17.42578125" style="29" customWidth="1"/>
    <col min="12309" max="12309" width="12.85546875" style="29" customWidth="1"/>
    <col min="12310" max="12315" width="11.5703125" style="29" customWidth="1"/>
    <col min="12316" max="12544" width="9.140625" style="29"/>
    <col min="12545" max="12545" width="3.5703125" style="29" customWidth="1"/>
    <col min="12546" max="12546" width="2.7109375" style="29" customWidth="1"/>
    <col min="12547" max="12547" width="15" style="29" customWidth="1"/>
    <col min="12548" max="12548" width="68.5703125" style="29" customWidth="1"/>
    <col min="12549" max="12549" width="23" style="29" customWidth="1"/>
    <col min="12550" max="12550" width="22.140625" style="29" customWidth="1"/>
    <col min="12551" max="12551" width="22.42578125" style="29" customWidth="1"/>
    <col min="12552" max="12552" width="17.5703125" style="29" customWidth="1"/>
    <col min="12553" max="12553" width="20.7109375" style="29" customWidth="1"/>
    <col min="12554" max="12556" width="17.5703125" style="29" customWidth="1"/>
    <col min="12557" max="12557" width="16.140625" style="29" customWidth="1"/>
    <col min="12558" max="12562" width="17.5703125" style="29" customWidth="1"/>
    <col min="12563" max="12563" width="19.7109375" style="29" customWidth="1"/>
    <col min="12564" max="12564" width="17.42578125" style="29" customWidth="1"/>
    <col min="12565" max="12565" width="12.85546875" style="29" customWidth="1"/>
    <col min="12566" max="12571" width="11.5703125" style="29" customWidth="1"/>
    <col min="12572" max="12800" width="9.140625" style="29"/>
    <col min="12801" max="12801" width="3.5703125" style="29" customWidth="1"/>
    <col min="12802" max="12802" width="2.7109375" style="29" customWidth="1"/>
    <col min="12803" max="12803" width="15" style="29" customWidth="1"/>
    <col min="12804" max="12804" width="68.5703125" style="29" customWidth="1"/>
    <col min="12805" max="12805" width="23" style="29" customWidth="1"/>
    <col min="12806" max="12806" width="22.140625" style="29" customWidth="1"/>
    <col min="12807" max="12807" width="22.42578125" style="29" customWidth="1"/>
    <col min="12808" max="12808" width="17.5703125" style="29" customWidth="1"/>
    <col min="12809" max="12809" width="20.7109375" style="29" customWidth="1"/>
    <col min="12810" max="12812" width="17.5703125" style="29" customWidth="1"/>
    <col min="12813" max="12813" width="16.140625" style="29" customWidth="1"/>
    <col min="12814" max="12818" width="17.5703125" style="29" customWidth="1"/>
    <col min="12819" max="12819" width="19.7109375" style="29" customWidth="1"/>
    <col min="12820" max="12820" width="17.42578125" style="29" customWidth="1"/>
    <col min="12821" max="12821" width="12.85546875" style="29" customWidth="1"/>
    <col min="12822" max="12827" width="11.5703125" style="29" customWidth="1"/>
    <col min="12828" max="13056" width="9.140625" style="29"/>
    <col min="13057" max="13057" width="3.5703125" style="29" customWidth="1"/>
    <col min="13058" max="13058" width="2.7109375" style="29" customWidth="1"/>
    <col min="13059" max="13059" width="15" style="29" customWidth="1"/>
    <col min="13060" max="13060" width="68.5703125" style="29" customWidth="1"/>
    <col min="13061" max="13061" width="23" style="29" customWidth="1"/>
    <col min="13062" max="13062" width="22.140625" style="29" customWidth="1"/>
    <col min="13063" max="13063" width="22.42578125" style="29" customWidth="1"/>
    <col min="13064" max="13064" width="17.5703125" style="29" customWidth="1"/>
    <col min="13065" max="13065" width="20.7109375" style="29" customWidth="1"/>
    <col min="13066" max="13068" width="17.5703125" style="29" customWidth="1"/>
    <col min="13069" max="13069" width="16.140625" style="29" customWidth="1"/>
    <col min="13070" max="13074" width="17.5703125" style="29" customWidth="1"/>
    <col min="13075" max="13075" width="19.7109375" style="29" customWidth="1"/>
    <col min="13076" max="13076" width="17.42578125" style="29" customWidth="1"/>
    <col min="13077" max="13077" width="12.85546875" style="29" customWidth="1"/>
    <col min="13078" max="13083" width="11.5703125" style="29" customWidth="1"/>
    <col min="13084" max="13312" width="9.140625" style="29"/>
    <col min="13313" max="13313" width="3.5703125" style="29" customWidth="1"/>
    <col min="13314" max="13314" width="2.7109375" style="29" customWidth="1"/>
    <col min="13315" max="13315" width="15" style="29" customWidth="1"/>
    <col min="13316" max="13316" width="68.5703125" style="29" customWidth="1"/>
    <col min="13317" max="13317" width="23" style="29" customWidth="1"/>
    <col min="13318" max="13318" width="22.140625" style="29" customWidth="1"/>
    <col min="13319" max="13319" width="22.42578125" style="29" customWidth="1"/>
    <col min="13320" max="13320" width="17.5703125" style="29" customWidth="1"/>
    <col min="13321" max="13321" width="20.7109375" style="29" customWidth="1"/>
    <col min="13322" max="13324" width="17.5703125" style="29" customWidth="1"/>
    <col min="13325" max="13325" width="16.140625" style="29" customWidth="1"/>
    <col min="13326" max="13330" width="17.5703125" style="29" customWidth="1"/>
    <col min="13331" max="13331" width="19.7109375" style="29" customWidth="1"/>
    <col min="13332" max="13332" width="17.42578125" style="29" customWidth="1"/>
    <col min="13333" max="13333" width="12.85546875" style="29" customWidth="1"/>
    <col min="13334" max="13339" width="11.5703125" style="29" customWidth="1"/>
    <col min="13340" max="13568" width="9.140625" style="29"/>
    <col min="13569" max="13569" width="3.5703125" style="29" customWidth="1"/>
    <col min="13570" max="13570" width="2.7109375" style="29" customWidth="1"/>
    <col min="13571" max="13571" width="15" style="29" customWidth="1"/>
    <col min="13572" max="13572" width="68.5703125" style="29" customWidth="1"/>
    <col min="13573" max="13573" width="23" style="29" customWidth="1"/>
    <col min="13574" max="13574" width="22.140625" style="29" customWidth="1"/>
    <col min="13575" max="13575" width="22.42578125" style="29" customWidth="1"/>
    <col min="13576" max="13576" width="17.5703125" style="29" customWidth="1"/>
    <col min="13577" max="13577" width="20.7109375" style="29" customWidth="1"/>
    <col min="13578" max="13580" width="17.5703125" style="29" customWidth="1"/>
    <col min="13581" max="13581" width="16.140625" style="29" customWidth="1"/>
    <col min="13582" max="13586" width="17.5703125" style="29" customWidth="1"/>
    <col min="13587" max="13587" width="19.7109375" style="29" customWidth="1"/>
    <col min="13588" max="13588" width="17.42578125" style="29" customWidth="1"/>
    <col min="13589" max="13589" width="12.85546875" style="29" customWidth="1"/>
    <col min="13590" max="13595" width="11.5703125" style="29" customWidth="1"/>
    <col min="13596" max="13824" width="9.140625" style="29"/>
    <col min="13825" max="13825" width="3.5703125" style="29" customWidth="1"/>
    <col min="13826" max="13826" width="2.7109375" style="29" customWidth="1"/>
    <col min="13827" max="13827" width="15" style="29" customWidth="1"/>
    <col min="13828" max="13828" width="68.5703125" style="29" customWidth="1"/>
    <col min="13829" max="13829" width="23" style="29" customWidth="1"/>
    <col min="13830" max="13830" width="22.140625" style="29" customWidth="1"/>
    <col min="13831" max="13831" width="22.42578125" style="29" customWidth="1"/>
    <col min="13832" max="13832" width="17.5703125" style="29" customWidth="1"/>
    <col min="13833" max="13833" width="20.7109375" style="29" customWidth="1"/>
    <col min="13834" max="13836" width="17.5703125" style="29" customWidth="1"/>
    <col min="13837" max="13837" width="16.140625" style="29" customWidth="1"/>
    <col min="13838" max="13842" width="17.5703125" style="29" customWidth="1"/>
    <col min="13843" max="13843" width="19.7109375" style="29" customWidth="1"/>
    <col min="13844" max="13844" width="17.42578125" style="29" customWidth="1"/>
    <col min="13845" max="13845" width="12.85546875" style="29" customWidth="1"/>
    <col min="13846" max="13851" width="11.5703125" style="29" customWidth="1"/>
    <col min="13852" max="14080" width="9.140625" style="29"/>
    <col min="14081" max="14081" width="3.5703125" style="29" customWidth="1"/>
    <col min="14082" max="14082" width="2.7109375" style="29" customWidth="1"/>
    <col min="14083" max="14083" width="15" style="29" customWidth="1"/>
    <col min="14084" max="14084" width="68.5703125" style="29" customWidth="1"/>
    <col min="14085" max="14085" width="23" style="29" customWidth="1"/>
    <col min="14086" max="14086" width="22.140625" style="29" customWidth="1"/>
    <col min="14087" max="14087" width="22.42578125" style="29" customWidth="1"/>
    <col min="14088" max="14088" width="17.5703125" style="29" customWidth="1"/>
    <col min="14089" max="14089" width="20.7109375" style="29" customWidth="1"/>
    <col min="14090" max="14092" width="17.5703125" style="29" customWidth="1"/>
    <col min="14093" max="14093" width="16.140625" style="29" customWidth="1"/>
    <col min="14094" max="14098" width="17.5703125" style="29" customWidth="1"/>
    <col min="14099" max="14099" width="19.7109375" style="29" customWidth="1"/>
    <col min="14100" max="14100" width="17.42578125" style="29" customWidth="1"/>
    <col min="14101" max="14101" width="12.85546875" style="29" customWidth="1"/>
    <col min="14102" max="14107" width="11.5703125" style="29" customWidth="1"/>
    <col min="14108" max="14336" width="9.140625" style="29"/>
    <col min="14337" max="14337" width="3.5703125" style="29" customWidth="1"/>
    <col min="14338" max="14338" width="2.7109375" style="29" customWidth="1"/>
    <col min="14339" max="14339" width="15" style="29" customWidth="1"/>
    <col min="14340" max="14340" width="68.5703125" style="29" customWidth="1"/>
    <col min="14341" max="14341" width="23" style="29" customWidth="1"/>
    <col min="14342" max="14342" width="22.140625" style="29" customWidth="1"/>
    <col min="14343" max="14343" width="22.42578125" style="29" customWidth="1"/>
    <col min="14344" max="14344" width="17.5703125" style="29" customWidth="1"/>
    <col min="14345" max="14345" width="20.7109375" style="29" customWidth="1"/>
    <col min="14346" max="14348" width="17.5703125" style="29" customWidth="1"/>
    <col min="14349" max="14349" width="16.140625" style="29" customWidth="1"/>
    <col min="14350" max="14354" width="17.5703125" style="29" customWidth="1"/>
    <col min="14355" max="14355" width="19.7109375" style="29" customWidth="1"/>
    <col min="14356" max="14356" width="17.42578125" style="29" customWidth="1"/>
    <col min="14357" max="14357" width="12.85546875" style="29" customWidth="1"/>
    <col min="14358" max="14363" width="11.5703125" style="29" customWidth="1"/>
    <col min="14364" max="14592" width="9.140625" style="29"/>
    <col min="14593" max="14593" width="3.5703125" style="29" customWidth="1"/>
    <col min="14594" max="14594" width="2.7109375" style="29" customWidth="1"/>
    <col min="14595" max="14595" width="15" style="29" customWidth="1"/>
    <col min="14596" max="14596" width="68.5703125" style="29" customWidth="1"/>
    <col min="14597" max="14597" width="23" style="29" customWidth="1"/>
    <col min="14598" max="14598" width="22.140625" style="29" customWidth="1"/>
    <col min="14599" max="14599" width="22.42578125" style="29" customWidth="1"/>
    <col min="14600" max="14600" width="17.5703125" style="29" customWidth="1"/>
    <col min="14601" max="14601" width="20.7109375" style="29" customWidth="1"/>
    <col min="14602" max="14604" width="17.5703125" style="29" customWidth="1"/>
    <col min="14605" max="14605" width="16.140625" style="29" customWidth="1"/>
    <col min="14606" max="14610" width="17.5703125" style="29" customWidth="1"/>
    <col min="14611" max="14611" width="19.7109375" style="29" customWidth="1"/>
    <col min="14612" max="14612" width="17.42578125" style="29" customWidth="1"/>
    <col min="14613" max="14613" width="12.85546875" style="29" customWidth="1"/>
    <col min="14614" max="14619" width="11.5703125" style="29" customWidth="1"/>
    <col min="14620" max="14848" width="9.140625" style="29"/>
    <col min="14849" max="14849" width="3.5703125" style="29" customWidth="1"/>
    <col min="14850" max="14850" width="2.7109375" style="29" customWidth="1"/>
    <col min="14851" max="14851" width="15" style="29" customWidth="1"/>
    <col min="14852" max="14852" width="68.5703125" style="29" customWidth="1"/>
    <col min="14853" max="14853" width="23" style="29" customWidth="1"/>
    <col min="14854" max="14854" width="22.140625" style="29" customWidth="1"/>
    <col min="14855" max="14855" width="22.42578125" style="29" customWidth="1"/>
    <col min="14856" max="14856" width="17.5703125" style="29" customWidth="1"/>
    <col min="14857" max="14857" width="20.7109375" style="29" customWidth="1"/>
    <col min="14858" max="14860" width="17.5703125" style="29" customWidth="1"/>
    <col min="14861" max="14861" width="16.140625" style="29" customWidth="1"/>
    <col min="14862" max="14866" width="17.5703125" style="29" customWidth="1"/>
    <col min="14867" max="14867" width="19.7109375" style="29" customWidth="1"/>
    <col min="14868" max="14868" width="17.42578125" style="29" customWidth="1"/>
    <col min="14869" max="14869" width="12.85546875" style="29" customWidth="1"/>
    <col min="14870" max="14875" width="11.5703125" style="29" customWidth="1"/>
    <col min="14876" max="15104" width="9.140625" style="29"/>
    <col min="15105" max="15105" width="3.5703125" style="29" customWidth="1"/>
    <col min="15106" max="15106" width="2.7109375" style="29" customWidth="1"/>
    <col min="15107" max="15107" width="15" style="29" customWidth="1"/>
    <col min="15108" max="15108" width="68.5703125" style="29" customWidth="1"/>
    <col min="15109" max="15109" width="23" style="29" customWidth="1"/>
    <col min="15110" max="15110" width="22.140625" style="29" customWidth="1"/>
    <col min="15111" max="15111" width="22.42578125" style="29" customWidth="1"/>
    <col min="15112" max="15112" width="17.5703125" style="29" customWidth="1"/>
    <col min="15113" max="15113" width="20.7109375" style="29" customWidth="1"/>
    <col min="15114" max="15116" width="17.5703125" style="29" customWidth="1"/>
    <col min="15117" max="15117" width="16.140625" style="29" customWidth="1"/>
    <col min="15118" max="15122" width="17.5703125" style="29" customWidth="1"/>
    <col min="15123" max="15123" width="19.7109375" style="29" customWidth="1"/>
    <col min="15124" max="15124" width="17.42578125" style="29" customWidth="1"/>
    <col min="15125" max="15125" width="12.85546875" style="29" customWidth="1"/>
    <col min="15126" max="15131" width="11.5703125" style="29" customWidth="1"/>
    <col min="15132" max="15360" width="9.140625" style="29"/>
    <col min="15361" max="15361" width="3.5703125" style="29" customWidth="1"/>
    <col min="15362" max="15362" width="2.7109375" style="29" customWidth="1"/>
    <col min="15363" max="15363" width="15" style="29" customWidth="1"/>
    <col min="15364" max="15364" width="68.5703125" style="29" customWidth="1"/>
    <col min="15365" max="15365" width="23" style="29" customWidth="1"/>
    <col min="15366" max="15366" width="22.140625" style="29" customWidth="1"/>
    <col min="15367" max="15367" width="22.42578125" style="29" customWidth="1"/>
    <col min="15368" max="15368" width="17.5703125" style="29" customWidth="1"/>
    <col min="15369" max="15369" width="20.7109375" style="29" customWidth="1"/>
    <col min="15370" max="15372" width="17.5703125" style="29" customWidth="1"/>
    <col min="15373" max="15373" width="16.140625" style="29" customWidth="1"/>
    <col min="15374" max="15378" width="17.5703125" style="29" customWidth="1"/>
    <col min="15379" max="15379" width="19.7109375" style="29" customWidth="1"/>
    <col min="15380" max="15380" width="17.42578125" style="29" customWidth="1"/>
    <col min="15381" max="15381" width="12.85546875" style="29" customWidth="1"/>
    <col min="15382" max="15387" width="11.5703125" style="29" customWidth="1"/>
    <col min="15388" max="15616" width="9.140625" style="29"/>
    <col min="15617" max="15617" width="3.5703125" style="29" customWidth="1"/>
    <col min="15618" max="15618" width="2.7109375" style="29" customWidth="1"/>
    <col min="15619" max="15619" width="15" style="29" customWidth="1"/>
    <col min="15620" max="15620" width="68.5703125" style="29" customWidth="1"/>
    <col min="15621" max="15621" width="23" style="29" customWidth="1"/>
    <col min="15622" max="15622" width="22.140625" style="29" customWidth="1"/>
    <col min="15623" max="15623" width="22.42578125" style="29" customWidth="1"/>
    <col min="15624" max="15624" width="17.5703125" style="29" customWidth="1"/>
    <col min="15625" max="15625" width="20.7109375" style="29" customWidth="1"/>
    <col min="15626" max="15628" width="17.5703125" style="29" customWidth="1"/>
    <col min="15629" max="15629" width="16.140625" style="29" customWidth="1"/>
    <col min="15630" max="15634" width="17.5703125" style="29" customWidth="1"/>
    <col min="15635" max="15635" width="19.7109375" style="29" customWidth="1"/>
    <col min="15636" max="15636" width="17.42578125" style="29" customWidth="1"/>
    <col min="15637" max="15637" width="12.85546875" style="29" customWidth="1"/>
    <col min="15638" max="15643" width="11.5703125" style="29" customWidth="1"/>
    <col min="15644" max="15872" width="9.140625" style="29"/>
    <col min="15873" max="15873" width="3.5703125" style="29" customWidth="1"/>
    <col min="15874" max="15874" width="2.7109375" style="29" customWidth="1"/>
    <col min="15875" max="15875" width="15" style="29" customWidth="1"/>
    <col min="15876" max="15876" width="68.5703125" style="29" customWidth="1"/>
    <col min="15877" max="15877" width="23" style="29" customWidth="1"/>
    <col min="15878" max="15878" width="22.140625" style="29" customWidth="1"/>
    <col min="15879" max="15879" width="22.42578125" style="29" customWidth="1"/>
    <col min="15880" max="15880" width="17.5703125" style="29" customWidth="1"/>
    <col min="15881" max="15881" width="20.7109375" style="29" customWidth="1"/>
    <col min="15882" max="15884" width="17.5703125" style="29" customWidth="1"/>
    <col min="15885" max="15885" width="16.140625" style="29" customWidth="1"/>
    <col min="15886" max="15890" width="17.5703125" style="29" customWidth="1"/>
    <col min="15891" max="15891" width="19.7109375" style="29" customWidth="1"/>
    <col min="15892" max="15892" width="17.42578125" style="29" customWidth="1"/>
    <col min="15893" max="15893" width="12.85546875" style="29" customWidth="1"/>
    <col min="15894" max="15899" width="11.5703125" style="29" customWidth="1"/>
    <col min="15900" max="16128" width="9.140625" style="29"/>
    <col min="16129" max="16129" width="3.5703125" style="29" customWidth="1"/>
    <col min="16130" max="16130" width="2.7109375" style="29" customWidth="1"/>
    <col min="16131" max="16131" width="15" style="29" customWidth="1"/>
    <col min="16132" max="16132" width="68.5703125" style="29" customWidth="1"/>
    <col min="16133" max="16133" width="23" style="29" customWidth="1"/>
    <col min="16134" max="16134" width="22.140625" style="29" customWidth="1"/>
    <col min="16135" max="16135" width="22.42578125" style="29" customWidth="1"/>
    <col min="16136" max="16136" width="17.5703125" style="29" customWidth="1"/>
    <col min="16137" max="16137" width="20.7109375" style="29" customWidth="1"/>
    <col min="16138" max="16140" width="17.5703125" style="29" customWidth="1"/>
    <col min="16141" max="16141" width="16.140625" style="29" customWidth="1"/>
    <col min="16142" max="16146" width="17.5703125" style="29" customWidth="1"/>
    <col min="16147" max="16147" width="19.7109375" style="29" customWidth="1"/>
    <col min="16148" max="16148" width="17.42578125" style="29" customWidth="1"/>
    <col min="16149" max="16149" width="12.85546875" style="29" customWidth="1"/>
    <col min="16150" max="16155" width="11.5703125" style="29" customWidth="1"/>
    <col min="16156" max="16384" width="9.140625" style="29"/>
  </cols>
  <sheetData>
    <row r="2" spans="1:34" s="23" customFormat="1" ht="33" customHeight="1" x14ac:dyDescent="0.2">
      <c r="A2" s="19"/>
      <c r="B2" s="19"/>
      <c r="C2" s="487"/>
      <c r="D2" s="487"/>
      <c r="E2" s="20"/>
      <c r="F2" s="20"/>
      <c r="G2" s="20"/>
      <c r="H2" s="21"/>
      <c r="I2" s="21"/>
      <c r="J2" s="21"/>
      <c r="K2" s="21"/>
      <c r="L2" s="21"/>
      <c r="M2" s="21"/>
      <c r="N2" s="21"/>
      <c r="O2" s="21"/>
      <c r="P2" s="21"/>
      <c r="Q2" s="21"/>
      <c r="R2" s="488" t="s">
        <v>292</v>
      </c>
      <c r="S2" s="488"/>
      <c r="T2" s="22"/>
      <c r="U2" s="22"/>
      <c r="V2" s="22"/>
    </row>
    <row r="3" spans="1:34" s="23" customFormat="1" ht="33" customHeight="1" x14ac:dyDescent="0.2">
      <c r="A3" s="19"/>
      <c r="B3" s="19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21"/>
      <c r="P3" s="21"/>
      <c r="Q3" s="21"/>
      <c r="R3" s="24"/>
      <c r="S3" s="24"/>
      <c r="T3" s="22"/>
      <c r="U3" s="22"/>
      <c r="V3" s="22"/>
    </row>
    <row r="4" spans="1:34" s="23" customFormat="1" ht="2.25" customHeight="1" x14ac:dyDescent="0.2">
      <c r="A4" s="19"/>
      <c r="B4" s="19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1"/>
      <c r="P4" s="21"/>
      <c r="Q4" s="21"/>
      <c r="R4" s="273"/>
      <c r="S4" s="273"/>
      <c r="T4" s="22"/>
      <c r="U4" s="22"/>
      <c r="V4" s="22"/>
    </row>
    <row r="5" spans="1:34" s="23" customFormat="1" ht="34.5" customHeight="1" x14ac:dyDescent="0.2">
      <c r="A5" s="19"/>
      <c r="B5" s="19"/>
      <c r="C5" s="489" t="s">
        <v>0</v>
      </c>
      <c r="D5" s="490" t="s">
        <v>22</v>
      </c>
      <c r="E5" s="489" t="s">
        <v>284</v>
      </c>
      <c r="F5" s="489" t="s">
        <v>285</v>
      </c>
      <c r="G5" s="491" t="s">
        <v>287</v>
      </c>
      <c r="H5" s="493" t="s">
        <v>288</v>
      </c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4"/>
      <c r="T5" s="22"/>
      <c r="U5" s="22"/>
      <c r="V5" s="22"/>
    </row>
    <row r="6" spans="1:34" ht="24.75" customHeight="1" x14ac:dyDescent="0.2">
      <c r="C6" s="489"/>
      <c r="D6" s="490"/>
      <c r="E6" s="489"/>
      <c r="F6" s="489"/>
      <c r="G6" s="492"/>
      <c r="H6" s="26" t="s">
        <v>5</v>
      </c>
      <c r="I6" s="27" t="s">
        <v>6</v>
      </c>
      <c r="J6" s="27" t="s">
        <v>7</v>
      </c>
      <c r="K6" s="235" t="s">
        <v>8</v>
      </c>
      <c r="L6" s="235" t="s">
        <v>9</v>
      </c>
      <c r="M6" s="27" t="s">
        <v>10</v>
      </c>
      <c r="N6" s="27" t="s">
        <v>11</v>
      </c>
      <c r="O6" s="27" t="s">
        <v>12</v>
      </c>
      <c r="P6" s="27" t="s">
        <v>13</v>
      </c>
      <c r="Q6" s="27" t="s">
        <v>14</v>
      </c>
      <c r="R6" s="27" t="s">
        <v>15</v>
      </c>
      <c r="S6" s="27" t="s">
        <v>16</v>
      </c>
    </row>
    <row r="7" spans="1:34" ht="39.75" customHeight="1" x14ac:dyDescent="0.2">
      <c r="A7" s="30" t="s">
        <v>54</v>
      </c>
      <c r="B7" s="30" t="str">
        <f>IF(OR(H7&lt;&gt;0,I7&lt;&gt;0,K7&lt;&gt;0,L7&lt;&gt;0,M7&lt;&gt;0,N7&lt;&gt;0),"a","b")</f>
        <v>a</v>
      </c>
      <c r="C7" s="31"/>
      <c r="D7" s="32" t="s">
        <v>55</v>
      </c>
      <c r="E7" s="33">
        <f>E10+E142+E205+E223</f>
        <v>21000000</v>
      </c>
      <c r="F7" s="33">
        <f>F10+F142+F205+F223</f>
        <v>21702120</v>
      </c>
      <c r="G7" s="33">
        <f>G10+G142+G205+G223</f>
        <v>21611763.849999998</v>
      </c>
      <c r="H7" s="33">
        <f t="shared" ref="H7:S7" si="0">H10+H142+H205+H223</f>
        <v>1661281.65</v>
      </c>
      <c r="I7" s="33">
        <f t="shared" si="0"/>
        <v>1738964.95</v>
      </c>
      <c r="J7" s="33">
        <f t="shared" si="0"/>
        <v>1624782.4000000001</v>
      </c>
      <c r="K7" s="33">
        <f t="shared" si="0"/>
        <v>1659069.5899999996</v>
      </c>
      <c r="L7" s="33">
        <f t="shared" si="0"/>
        <v>1587267.45</v>
      </c>
      <c r="M7" s="33">
        <f t="shared" si="0"/>
        <v>1622228.4800000002</v>
      </c>
      <c r="N7" s="33">
        <f t="shared" si="0"/>
        <v>1627689.29</v>
      </c>
      <c r="O7" s="33">
        <f t="shared" si="0"/>
        <v>1554808.33</v>
      </c>
      <c r="P7" s="33">
        <f t="shared" si="0"/>
        <v>1584728.35</v>
      </c>
      <c r="Q7" s="33">
        <f t="shared" si="0"/>
        <v>1786154.68</v>
      </c>
      <c r="R7" s="33">
        <f t="shared" si="0"/>
        <v>1670471.23</v>
      </c>
      <c r="S7" s="33">
        <f t="shared" si="0"/>
        <v>3554129.54</v>
      </c>
      <c r="U7" s="34"/>
      <c r="V7" s="34"/>
      <c r="W7" s="35"/>
      <c r="X7" s="35"/>
      <c r="Y7" s="35"/>
      <c r="Z7" s="35"/>
      <c r="AA7" s="35"/>
      <c r="AB7" s="36"/>
      <c r="AC7" s="36"/>
      <c r="AD7" s="36"/>
      <c r="AE7" s="36"/>
      <c r="AF7" s="36"/>
      <c r="AG7" s="36"/>
      <c r="AH7" s="36"/>
    </row>
    <row r="8" spans="1:34" s="44" customFormat="1" ht="31.5" customHeight="1" x14ac:dyDescent="0.2">
      <c r="A8" s="37" t="s">
        <v>54</v>
      </c>
      <c r="B8" s="38" t="str">
        <f t="shared" ref="B8:B71" si="1">IF(OR(H8&lt;&gt;0,I8&lt;&gt;0,K8&lt;&gt;0,L8&lt;&gt;0,M8&lt;&gt;0,N8&lt;&gt;0),"a","b")</f>
        <v>b</v>
      </c>
      <c r="C8" s="39"/>
      <c r="D8" s="40" t="s">
        <v>56</v>
      </c>
      <c r="E8" s="41">
        <v>1813</v>
      </c>
      <c r="F8" s="41">
        <v>1813</v>
      </c>
      <c r="G8" s="42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3"/>
      <c r="U8" s="43"/>
      <c r="V8" s="43"/>
    </row>
    <row r="9" spans="1:34" s="44" customFormat="1" ht="18" customHeight="1" x14ac:dyDescent="0.2">
      <c r="A9" s="37"/>
      <c r="B9" s="38" t="str">
        <f t="shared" si="1"/>
        <v>b</v>
      </c>
      <c r="C9" s="39"/>
      <c r="D9" s="40" t="s">
        <v>57</v>
      </c>
      <c r="E9" s="41">
        <v>300</v>
      </c>
      <c r="F9" s="41">
        <v>300</v>
      </c>
      <c r="G9" s="42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3"/>
      <c r="U9" s="43"/>
      <c r="V9" s="43"/>
    </row>
    <row r="10" spans="1:34" s="50" customFormat="1" x14ac:dyDescent="0.25">
      <c r="A10" s="45" t="s">
        <v>54</v>
      </c>
      <c r="B10" s="30" t="str">
        <f t="shared" si="1"/>
        <v>a</v>
      </c>
      <c r="C10" s="46"/>
      <c r="D10" s="47" t="s">
        <v>34</v>
      </c>
      <c r="E10" s="48">
        <f>E11+E22+E90+E98+E99+E109+E119</f>
        <v>20700000</v>
      </c>
      <c r="F10" s="48">
        <f>F11+F22+F90+F98+F99+F109+F119</f>
        <v>20734432</v>
      </c>
      <c r="G10" s="48">
        <f>G11+G22+G90+G98+G99+G109+G119</f>
        <v>20719632.749999996</v>
      </c>
      <c r="H10" s="48">
        <f>H11+H22+H90+H98+H99+H109+H119</f>
        <v>1658224.65</v>
      </c>
      <c r="I10" s="48">
        <f t="shared" ref="I10:S10" si="2">I11+I22+I90+I98+I99+I109+I119</f>
        <v>1738914.95</v>
      </c>
      <c r="J10" s="48">
        <f t="shared" si="2"/>
        <v>1604671.59</v>
      </c>
      <c r="K10" s="48">
        <f t="shared" si="2"/>
        <v>1659007.6499999997</v>
      </c>
      <c r="L10" s="48">
        <f t="shared" si="2"/>
        <v>1581152.45</v>
      </c>
      <c r="M10" s="48">
        <f t="shared" si="2"/>
        <v>1621565.11</v>
      </c>
      <c r="N10" s="48">
        <f t="shared" si="2"/>
        <v>1621662.29</v>
      </c>
      <c r="O10" s="48">
        <f t="shared" si="2"/>
        <v>1554808.33</v>
      </c>
      <c r="P10" s="48">
        <f t="shared" si="2"/>
        <v>1584728.35</v>
      </c>
      <c r="Q10" s="48">
        <f t="shared" si="2"/>
        <v>1708893.21</v>
      </c>
      <c r="R10" s="48">
        <f t="shared" si="2"/>
        <v>1635604.99</v>
      </c>
      <c r="S10" s="48">
        <f t="shared" si="2"/>
        <v>2810211.27</v>
      </c>
      <c r="T10" s="49"/>
      <c r="U10" s="49"/>
      <c r="V10" s="49"/>
    </row>
    <row r="11" spans="1:34" x14ac:dyDescent="0.2">
      <c r="A11" s="30" t="s">
        <v>54</v>
      </c>
      <c r="B11" s="30" t="str">
        <f t="shared" si="1"/>
        <v>a</v>
      </c>
      <c r="C11" s="51"/>
      <c r="D11" s="52" t="s">
        <v>35</v>
      </c>
      <c r="E11" s="53">
        <v>16230000</v>
      </c>
      <c r="F11" s="53">
        <v>16162800</v>
      </c>
      <c r="G11" s="53">
        <f>G12+G21</f>
        <v>16161357.739999998</v>
      </c>
      <c r="H11" s="53">
        <f t="shared" ref="H11:S11" si="3">H12+H21</f>
        <v>1236223.3500000001</v>
      </c>
      <c r="I11" s="53">
        <f t="shared" si="3"/>
        <v>1282397.49</v>
      </c>
      <c r="J11" s="53">
        <f t="shared" si="3"/>
        <v>1270649.82</v>
      </c>
      <c r="K11" s="53">
        <f t="shared" si="3"/>
        <v>1272633.6499999999</v>
      </c>
      <c r="L11" s="53">
        <f t="shared" si="3"/>
        <v>1263632.18</v>
      </c>
      <c r="M11" s="53">
        <f t="shared" si="3"/>
        <v>1261411.55</v>
      </c>
      <c r="N11" s="53">
        <f t="shared" si="3"/>
        <v>1304072.8400000001</v>
      </c>
      <c r="O11" s="53">
        <f t="shared" si="3"/>
        <v>1245706.3700000001</v>
      </c>
      <c r="P11" s="53">
        <f t="shared" si="3"/>
        <v>1231902.0900000001</v>
      </c>
      <c r="Q11" s="53">
        <f t="shared" si="3"/>
        <v>1263996.02</v>
      </c>
      <c r="R11" s="53">
        <f t="shared" si="3"/>
        <v>1258935.53</v>
      </c>
      <c r="S11" s="53">
        <f t="shared" si="3"/>
        <v>2269796.85</v>
      </c>
    </row>
    <row r="12" spans="1:34" x14ac:dyDescent="0.2">
      <c r="A12" s="30"/>
      <c r="B12" s="30" t="str">
        <f t="shared" si="1"/>
        <v>a</v>
      </c>
      <c r="C12" s="54"/>
      <c r="D12" s="55" t="s">
        <v>58</v>
      </c>
      <c r="E12" s="56">
        <f>E13+E20</f>
        <v>0</v>
      </c>
      <c r="F12" s="56">
        <f t="shared" ref="F12:S12" si="4">F13+F20</f>
        <v>0</v>
      </c>
      <c r="G12" s="56">
        <f>G13+G20</f>
        <v>16161357.739999998</v>
      </c>
      <c r="H12" s="56">
        <f t="shared" si="4"/>
        <v>1236223.3500000001</v>
      </c>
      <c r="I12" s="56">
        <f t="shared" si="4"/>
        <v>1282397.49</v>
      </c>
      <c r="J12" s="56">
        <f t="shared" si="4"/>
        <v>1270649.82</v>
      </c>
      <c r="K12" s="56">
        <f t="shared" si="4"/>
        <v>1272633.6499999999</v>
      </c>
      <c r="L12" s="56">
        <f t="shared" si="4"/>
        <v>1263632.18</v>
      </c>
      <c r="M12" s="56">
        <f t="shared" si="4"/>
        <v>1261411.55</v>
      </c>
      <c r="N12" s="56">
        <f t="shared" si="4"/>
        <v>1304072.8400000001</v>
      </c>
      <c r="O12" s="56">
        <f t="shared" si="4"/>
        <v>1245706.3700000001</v>
      </c>
      <c r="P12" s="56">
        <f t="shared" si="4"/>
        <v>1231902.0900000001</v>
      </c>
      <c r="Q12" s="56">
        <f t="shared" si="4"/>
        <v>1263996.02</v>
      </c>
      <c r="R12" s="56">
        <f t="shared" si="4"/>
        <v>1258935.53</v>
      </c>
      <c r="S12" s="56">
        <f t="shared" si="4"/>
        <v>2269796.85</v>
      </c>
    </row>
    <row r="13" spans="1:34" ht="21.75" customHeight="1" x14ac:dyDescent="0.2">
      <c r="A13" s="30"/>
      <c r="B13" s="30" t="str">
        <f t="shared" si="1"/>
        <v>a</v>
      </c>
      <c r="C13" s="57"/>
      <c r="D13" s="58" t="s">
        <v>59</v>
      </c>
      <c r="E13" s="59">
        <f>SUM(E14:E19)</f>
        <v>0</v>
      </c>
      <c r="F13" s="59">
        <f t="shared" ref="F13:S13" si="5">SUM(F14:F19)</f>
        <v>0</v>
      </c>
      <c r="G13" s="59">
        <f>SUM(G14:G19)</f>
        <v>16161357.739999998</v>
      </c>
      <c r="H13" s="59">
        <f t="shared" si="5"/>
        <v>1236223.3500000001</v>
      </c>
      <c r="I13" s="59">
        <f t="shared" si="5"/>
        <v>1282397.49</v>
      </c>
      <c r="J13" s="59">
        <f t="shared" si="5"/>
        <v>1270649.82</v>
      </c>
      <c r="K13" s="59">
        <f t="shared" si="5"/>
        <v>1272633.6499999999</v>
      </c>
      <c r="L13" s="59">
        <f t="shared" si="5"/>
        <v>1263632.18</v>
      </c>
      <c r="M13" s="59">
        <f t="shared" si="5"/>
        <v>1261411.55</v>
      </c>
      <c r="N13" s="59">
        <f t="shared" si="5"/>
        <v>1304072.8400000001</v>
      </c>
      <c r="O13" s="59">
        <f t="shared" si="5"/>
        <v>1245706.3700000001</v>
      </c>
      <c r="P13" s="59">
        <f t="shared" si="5"/>
        <v>1231902.0900000001</v>
      </c>
      <c r="Q13" s="59">
        <f t="shared" si="5"/>
        <v>1263996.02</v>
      </c>
      <c r="R13" s="59">
        <f t="shared" si="5"/>
        <v>1258935.53</v>
      </c>
      <c r="S13" s="59">
        <f t="shared" si="5"/>
        <v>2269796.85</v>
      </c>
    </row>
    <row r="14" spans="1:34" x14ac:dyDescent="0.2">
      <c r="A14" s="30"/>
      <c r="B14" s="30" t="str">
        <f t="shared" si="1"/>
        <v>a</v>
      </c>
      <c r="C14" s="60"/>
      <c r="D14" s="61" t="s">
        <v>60</v>
      </c>
      <c r="E14" s="42"/>
      <c r="F14" s="42"/>
      <c r="G14" s="42">
        <f>SUM(H14:S14)</f>
        <v>14659175.739999998</v>
      </c>
      <c r="H14" s="42">
        <v>1205288.3500000001</v>
      </c>
      <c r="I14" s="42">
        <v>1243057.49</v>
      </c>
      <c r="J14" s="42">
        <v>1232624.82</v>
      </c>
      <c r="K14" s="42">
        <v>1234863.6499999999</v>
      </c>
      <c r="L14" s="42">
        <v>1225927.18</v>
      </c>
      <c r="M14" s="42">
        <v>1221506.55</v>
      </c>
      <c r="N14" s="42">
        <v>1262182.8400000001</v>
      </c>
      <c r="O14" s="42">
        <v>1202966.3700000001</v>
      </c>
      <c r="P14" s="42">
        <v>1191677.0900000001</v>
      </c>
      <c r="Q14" s="42">
        <v>1219815.02</v>
      </c>
      <c r="R14" s="42">
        <v>1209430.53</v>
      </c>
      <c r="S14" s="42">
        <v>1209835.8500000001</v>
      </c>
      <c r="W14" s="28"/>
      <c r="X14" s="28"/>
      <c r="Y14" s="28"/>
      <c r="Z14" s="28"/>
      <c r="AA14" s="28"/>
    </row>
    <row r="15" spans="1:34" x14ac:dyDescent="0.2">
      <c r="A15" s="38"/>
      <c r="B15" s="38" t="str">
        <f t="shared" si="1"/>
        <v>b</v>
      </c>
      <c r="C15" s="60"/>
      <c r="D15" s="61" t="s">
        <v>61</v>
      </c>
      <c r="E15" s="42"/>
      <c r="F15" s="42"/>
      <c r="G15" s="42">
        <f t="shared" ref="G15:G78" si="6">SUM(H15:S15)</f>
        <v>0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W15" s="28"/>
      <c r="X15" s="28"/>
      <c r="Y15" s="28"/>
      <c r="Z15" s="28"/>
      <c r="AA15" s="28"/>
    </row>
    <row r="16" spans="1:34" x14ac:dyDescent="0.2">
      <c r="A16" s="30"/>
      <c r="B16" s="30" t="str">
        <f t="shared" si="1"/>
        <v>b</v>
      </c>
      <c r="C16" s="60"/>
      <c r="D16" s="61" t="s">
        <v>62</v>
      </c>
      <c r="E16" s="42"/>
      <c r="F16" s="42"/>
      <c r="G16" s="42">
        <f t="shared" si="6"/>
        <v>2800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>
        <v>2800</v>
      </c>
      <c r="W16" s="28"/>
      <c r="X16" s="28"/>
      <c r="Y16" s="28"/>
      <c r="Z16" s="28"/>
      <c r="AA16" s="28"/>
    </row>
    <row r="17" spans="1:34" x14ac:dyDescent="0.2">
      <c r="A17" s="30"/>
      <c r="B17" s="30" t="str">
        <f t="shared" si="1"/>
        <v>a</v>
      </c>
      <c r="C17" s="60"/>
      <c r="D17" s="61" t="s">
        <v>63</v>
      </c>
      <c r="E17" s="42"/>
      <c r="F17" s="42"/>
      <c r="G17" s="42">
        <f t="shared" si="6"/>
        <v>1499382</v>
      </c>
      <c r="H17" s="42">
        <v>30935</v>
      </c>
      <c r="I17" s="42">
        <v>39340</v>
      </c>
      <c r="J17" s="42">
        <v>38025</v>
      </c>
      <c r="K17" s="42">
        <v>37770</v>
      </c>
      <c r="L17" s="42">
        <v>37705</v>
      </c>
      <c r="M17" s="42">
        <v>39905</v>
      </c>
      <c r="N17" s="42">
        <v>41890</v>
      </c>
      <c r="O17" s="42">
        <v>42740</v>
      </c>
      <c r="P17" s="42">
        <v>40225</v>
      </c>
      <c r="Q17" s="42">
        <v>44181</v>
      </c>
      <c r="R17" s="42">
        <v>49505</v>
      </c>
      <c r="S17" s="42">
        <v>1057161</v>
      </c>
      <c r="W17" s="28"/>
      <c r="X17" s="28"/>
      <c r="Y17" s="28"/>
      <c r="Z17" s="28"/>
      <c r="AA17" s="28"/>
    </row>
    <row r="18" spans="1:34" x14ac:dyDescent="0.2">
      <c r="A18" s="38"/>
      <c r="B18" s="38" t="str">
        <f t="shared" si="1"/>
        <v>b</v>
      </c>
      <c r="C18" s="60"/>
      <c r="D18" s="61" t="s">
        <v>64</v>
      </c>
      <c r="E18" s="42"/>
      <c r="F18" s="42"/>
      <c r="G18" s="42">
        <f t="shared" si="6"/>
        <v>0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34" x14ac:dyDescent="0.2">
      <c r="A19" s="38"/>
      <c r="B19" s="38" t="str">
        <f t="shared" si="1"/>
        <v>b</v>
      </c>
      <c r="C19" s="60"/>
      <c r="D19" s="61" t="s">
        <v>65</v>
      </c>
      <c r="E19" s="42"/>
      <c r="F19" s="42"/>
      <c r="G19" s="42">
        <f t="shared" si="6"/>
        <v>0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34" x14ac:dyDescent="0.2">
      <c r="A20" s="38"/>
      <c r="B20" s="38" t="str">
        <f t="shared" si="1"/>
        <v>b</v>
      </c>
      <c r="C20" s="57"/>
      <c r="D20" s="58" t="s">
        <v>66</v>
      </c>
      <c r="E20" s="62"/>
      <c r="F20" s="62"/>
      <c r="G20" s="42">
        <f t="shared" si="6"/>
        <v>0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34" x14ac:dyDescent="0.2">
      <c r="A21" s="38"/>
      <c r="B21" s="38" t="str">
        <f t="shared" si="1"/>
        <v>b</v>
      </c>
      <c r="C21" s="54"/>
      <c r="D21" s="55" t="s">
        <v>67</v>
      </c>
      <c r="E21" s="63"/>
      <c r="F21" s="63"/>
      <c r="G21" s="42">
        <f t="shared" si="6"/>
        <v>0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spans="1:34" x14ac:dyDescent="0.2">
      <c r="A22" s="30" t="s">
        <v>54</v>
      </c>
      <c r="B22" s="30" t="str">
        <f t="shared" si="1"/>
        <v>a</v>
      </c>
      <c r="C22" s="51"/>
      <c r="D22" s="52" t="s">
        <v>36</v>
      </c>
      <c r="E22" s="53">
        <v>4321000</v>
      </c>
      <c r="F22" s="53">
        <v>4259300</v>
      </c>
      <c r="G22" s="53">
        <f>G23+G24+G27+G63+G64+G65+G66+G67+G74+G75</f>
        <v>4255646.1099999994</v>
      </c>
      <c r="H22" s="53">
        <f t="shared" ref="H22:S24" si="7">H23+H24+H27+H63+H64+H65+H66+H67+H74+H75</f>
        <v>374189.36</v>
      </c>
      <c r="I22" s="53">
        <f t="shared" si="7"/>
        <v>431369.82</v>
      </c>
      <c r="J22" s="53">
        <f t="shared" si="7"/>
        <v>311874.95</v>
      </c>
      <c r="K22" s="53">
        <f t="shared" si="7"/>
        <v>363426.63</v>
      </c>
      <c r="L22" s="53">
        <f t="shared" si="7"/>
        <v>286982.2</v>
      </c>
      <c r="M22" s="53">
        <f t="shared" si="7"/>
        <v>338889.01</v>
      </c>
      <c r="N22" s="53">
        <f t="shared" si="7"/>
        <v>299393.24</v>
      </c>
      <c r="O22" s="53">
        <f t="shared" si="7"/>
        <v>295772.45</v>
      </c>
      <c r="P22" s="53">
        <f t="shared" si="7"/>
        <v>331101.26000000007</v>
      </c>
      <c r="Q22" s="53">
        <f>Q23+Q25+Q27+Q63+Q64+Q65+Q66+Q67+Q74+Q75</f>
        <v>419949.1</v>
      </c>
      <c r="R22" s="53">
        <f t="shared" si="7"/>
        <v>348834.97</v>
      </c>
      <c r="S22" s="53">
        <f t="shared" si="7"/>
        <v>513675.21000000008</v>
      </c>
    </row>
    <row r="23" spans="1:34" x14ac:dyDescent="0.2">
      <c r="A23" s="30"/>
      <c r="B23" s="30" t="e">
        <f>IF(OR(#REF!&lt;&gt;0,I23&lt;&gt;0,K23&lt;&gt;0,L23&lt;&gt;0,M23&lt;&gt;0,N23&lt;&gt;0),"a","b")</f>
        <v>#REF!</v>
      </c>
      <c r="C23" s="54"/>
      <c r="D23" s="55" t="s">
        <v>68</v>
      </c>
      <c r="E23" s="63"/>
      <c r="F23" s="63"/>
      <c r="G23" s="42">
        <f>SUM(H23:S23)</f>
        <v>1098855.1099999999</v>
      </c>
      <c r="H23" s="56">
        <v>71992.5</v>
      </c>
      <c r="I23" s="63">
        <v>73103</v>
      </c>
      <c r="J23" s="63">
        <v>70342.289999999994</v>
      </c>
      <c r="K23" s="63">
        <v>70735.89</v>
      </c>
      <c r="L23" s="63">
        <v>81696.2</v>
      </c>
      <c r="M23" s="63">
        <v>90240.34</v>
      </c>
      <c r="N23" s="63">
        <v>91020.12</v>
      </c>
      <c r="O23" s="63">
        <v>100039.82</v>
      </c>
      <c r="P23" s="63">
        <v>91438</v>
      </c>
      <c r="Q23" s="63">
        <v>93627.57</v>
      </c>
      <c r="R23" s="63">
        <v>104010.5</v>
      </c>
      <c r="S23" s="63">
        <v>160608.88</v>
      </c>
    </row>
    <row r="24" spans="1:34" x14ac:dyDescent="0.2">
      <c r="A24" s="30"/>
      <c r="B24" s="30" t="str">
        <f>IF(OR(H23&lt;&gt;0,I24&lt;&gt;0,K24&lt;&gt;0,L24&lt;&gt;0,M24&lt;&gt;0,N24&lt;&gt;0),"a","b")</f>
        <v>a</v>
      </c>
      <c r="C24" s="54"/>
      <c r="D24" s="55" t="s">
        <v>69</v>
      </c>
      <c r="E24" s="56">
        <f>SUM(E25:E26)</f>
        <v>0</v>
      </c>
      <c r="F24" s="56">
        <f t="shared" ref="F24:S24" si="8">SUM(F25:F26)</f>
        <v>0</v>
      </c>
      <c r="G24" s="56">
        <f>SUM(G25:G26)</f>
        <v>349791.55000000005</v>
      </c>
      <c r="H24" s="56">
        <f>SUM(H25:H26)</f>
        <v>11405.95</v>
      </c>
      <c r="I24" s="53">
        <f t="shared" si="7"/>
        <v>95321.689999999988</v>
      </c>
      <c r="J24" s="56">
        <f t="shared" si="8"/>
        <v>15164.49</v>
      </c>
      <c r="K24" s="56">
        <f t="shared" si="8"/>
        <v>24913.24</v>
      </c>
      <c r="L24" s="56">
        <f t="shared" si="8"/>
        <v>20618.96</v>
      </c>
      <c r="M24" s="56">
        <f t="shared" si="8"/>
        <v>13702.84</v>
      </c>
      <c r="N24" s="56">
        <f t="shared" si="8"/>
        <v>21831.31</v>
      </c>
      <c r="O24" s="56">
        <f t="shared" si="8"/>
        <v>26489.17</v>
      </c>
      <c r="P24" s="56">
        <f t="shared" si="8"/>
        <v>36472.61</v>
      </c>
      <c r="Q24" s="56">
        <f t="shared" si="8"/>
        <v>64038.25</v>
      </c>
      <c r="R24" s="56">
        <f t="shared" si="8"/>
        <v>49266.55</v>
      </c>
      <c r="S24" s="56">
        <f t="shared" si="8"/>
        <v>37274.31</v>
      </c>
    </row>
    <row r="25" spans="1:34" s="28" customFormat="1" x14ac:dyDescent="0.2">
      <c r="A25" s="30"/>
      <c r="B25" s="30" t="str">
        <f t="shared" si="1"/>
        <v>a</v>
      </c>
      <c r="C25" s="57"/>
      <c r="D25" s="58" t="s">
        <v>70</v>
      </c>
      <c r="E25" s="62"/>
      <c r="F25" s="62"/>
      <c r="G25" s="42">
        <f t="shared" si="6"/>
        <v>292434.90000000002</v>
      </c>
      <c r="H25" s="62">
        <v>5925</v>
      </c>
      <c r="I25" s="62">
        <v>27928.5</v>
      </c>
      <c r="J25" s="62">
        <v>9552.5</v>
      </c>
      <c r="K25" s="62">
        <v>24071</v>
      </c>
      <c r="L25" s="62">
        <v>20321.3</v>
      </c>
      <c r="M25" s="62">
        <v>12843.5</v>
      </c>
      <c r="N25" s="62">
        <v>13008.7</v>
      </c>
      <c r="O25" s="62">
        <v>21931</v>
      </c>
      <c r="P25" s="62">
        <v>17930.2</v>
      </c>
      <c r="Q25" s="56">
        <v>60278.5</v>
      </c>
      <c r="R25" s="62">
        <v>44699.5</v>
      </c>
      <c r="S25" s="62">
        <v>33945.199999999997</v>
      </c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s="28" customFormat="1" x14ac:dyDescent="0.2">
      <c r="A26" s="30"/>
      <c r="B26" s="30" t="str">
        <f t="shared" si="1"/>
        <v>a</v>
      </c>
      <c r="C26" s="57"/>
      <c r="D26" s="58" t="s">
        <v>71</v>
      </c>
      <c r="E26" s="62"/>
      <c r="F26" s="62"/>
      <c r="G26" s="42">
        <f t="shared" si="6"/>
        <v>57356.650000000009</v>
      </c>
      <c r="H26" s="62">
        <v>5480.95</v>
      </c>
      <c r="I26" s="62">
        <v>685.37</v>
      </c>
      <c r="J26" s="62">
        <v>5611.99</v>
      </c>
      <c r="K26" s="62">
        <v>842.24</v>
      </c>
      <c r="L26" s="62">
        <v>297.66000000000003</v>
      </c>
      <c r="M26" s="62">
        <v>859.34</v>
      </c>
      <c r="N26" s="62">
        <v>8822.61</v>
      </c>
      <c r="O26" s="62">
        <v>4558.17</v>
      </c>
      <c r="P26" s="62">
        <v>18542.41</v>
      </c>
      <c r="Q26" s="62">
        <v>3759.75</v>
      </c>
      <c r="R26" s="62">
        <v>4567.05</v>
      </c>
      <c r="S26" s="62">
        <v>3329.11</v>
      </c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s="28" customFormat="1" x14ac:dyDescent="0.2">
      <c r="A27" s="30"/>
      <c r="B27" s="30" t="str">
        <f t="shared" si="1"/>
        <v>a</v>
      </c>
      <c r="C27" s="54"/>
      <c r="D27" s="55" t="s">
        <v>72</v>
      </c>
      <c r="E27" s="56">
        <f>E28+E29+E30+E31+E43+E47+E48+E49+E50+E51+E52+E53+E61+E62</f>
        <v>0</v>
      </c>
      <c r="F27" s="56">
        <f t="shared" ref="F27:S27" si="9">F28+F29+F30+F31+F43+F47+F48+F49+F50+F51+F52+F53+F61+F62</f>
        <v>0</v>
      </c>
      <c r="G27" s="56">
        <f>G28+G29+G30+G31+G43+G47+G48+G49+G50+G51+G52+G53+G61+G62</f>
        <v>2099101.52</v>
      </c>
      <c r="H27" s="56">
        <f t="shared" si="9"/>
        <v>252682.57</v>
      </c>
      <c r="I27" s="56">
        <f t="shared" si="9"/>
        <v>207223.16000000003</v>
      </c>
      <c r="J27" s="56">
        <f t="shared" si="9"/>
        <v>176004.75</v>
      </c>
      <c r="K27" s="56">
        <f t="shared" si="9"/>
        <v>203183.47</v>
      </c>
      <c r="L27" s="56">
        <f>L28+L29+L30+L31+L43+L47+L48+K49+L50+L51+L52+L53+L61+L62</f>
        <v>126417.39000000001</v>
      </c>
      <c r="M27" s="56">
        <f t="shared" si="9"/>
        <v>183744.33</v>
      </c>
      <c r="N27" s="56">
        <f t="shared" si="9"/>
        <v>129273.53</v>
      </c>
      <c r="O27" s="56">
        <f t="shared" si="9"/>
        <v>113271.21</v>
      </c>
      <c r="P27" s="56">
        <f t="shared" si="9"/>
        <v>150428.91</v>
      </c>
      <c r="Q27" s="56">
        <f t="shared" si="9"/>
        <v>205349.25</v>
      </c>
      <c r="R27" s="56">
        <f t="shared" si="9"/>
        <v>137927.27000000002</v>
      </c>
      <c r="S27" s="56">
        <f t="shared" si="9"/>
        <v>210459.7</v>
      </c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s="28" customFormat="1" ht="72" x14ac:dyDescent="0.2">
      <c r="A28" s="30"/>
      <c r="B28" s="30" t="str">
        <f t="shared" si="1"/>
        <v>a</v>
      </c>
      <c r="C28" s="57"/>
      <c r="D28" s="58" t="s">
        <v>73</v>
      </c>
      <c r="E28" s="62"/>
      <c r="F28" s="62"/>
      <c r="G28" s="42">
        <f t="shared" si="6"/>
        <v>146195.1</v>
      </c>
      <c r="H28" s="62"/>
      <c r="I28" s="62">
        <v>39636.5</v>
      </c>
      <c r="J28" s="62">
        <v>6411.6</v>
      </c>
      <c r="K28" s="62">
        <v>45046</v>
      </c>
      <c r="L28" s="62"/>
      <c r="M28" s="62">
        <v>5583.1</v>
      </c>
      <c r="N28" s="62">
        <v>7648.5</v>
      </c>
      <c r="O28" s="62">
        <v>6200</v>
      </c>
      <c r="P28" s="62">
        <v>6300</v>
      </c>
      <c r="Q28" s="62">
        <v>29337.9</v>
      </c>
      <c r="R28" s="62"/>
      <c r="S28" s="62">
        <v>31.5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s="28" customFormat="1" ht="36" x14ac:dyDescent="0.2">
      <c r="A29" s="38"/>
      <c r="B29" s="38" t="str">
        <f t="shared" si="1"/>
        <v>b</v>
      </c>
      <c r="C29" s="57"/>
      <c r="D29" s="58" t="s">
        <v>74</v>
      </c>
      <c r="E29" s="62"/>
      <c r="F29" s="62"/>
      <c r="G29" s="42">
        <f t="shared" si="6"/>
        <v>3528</v>
      </c>
      <c r="H29" s="62"/>
      <c r="I29" s="62"/>
      <c r="J29" s="62"/>
      <c r="K29" s="62"/>
      <c r="L29" s="62"/>
      <c r="M29" s="62"/>
      <c r="N29" s="62"/>
      <c r="O29" s="62"/>
      <c r="P29" s="62"/>
      <c r="Q29" s="62">
        <v>2280</v>
      </c>
      <c r="R29" s="62"/>
      <c r="S29" s="62">
        <v>1248</v>
      </c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s="28" customFormat="1" ht="72" customHeight="1" x14ac:dyDescent="0.2">
      <c r="A30" s="30"/>
      <c r="B30" s="30" t="str">
        <f t="shared" si="1"/>
        <v>a</v>
      </c>
      <c r="C30" s="57"/>
      <c r="D30" s="58" t="s">
        <v>75</v>
      </c>
      <c r="E30" s="62"/>
      <c r="F30" s="62"/>
      <c r="G30" s="42">
        <f t="shared" si="6"/>
        <v>15676.8</v>
      </c>
      <c r="H30" s="62"/>
      <c r="I30" s="62">
        <v>2112</v>
      </c>
      <c r="J30" s="62">
        <v>5398.8</v>
      </c>
      <c r="K30" s="62"/>
      <c r="L30" s="62">
        <v>3360</v>
      </c>
      <c r="M30" s="62">
        <v>2850</v>
      </c>
      <c r="N30" s="62">
        <v>166</v>
      </c>
      <c r="O30" s="62">
        <v>1100</v>
      </c>
      <c r="P30" s="62"/>
      <c r="Q30" s="62">
        <v>500</v>
      </c>
      <c r="R30" s="62"/>
      <c r="S30" s="62">
        <v>190</v>
      </c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s="28" customFormat="1" ht="36" x14ac:dyDescent="0.2">
      <c r="A31" s="30"/>
      <c r="B31" s="30" t="str">
        <f t="shared" si="1"/>
        <v>a</v>
      </c>
      <c r="C31" s="57"/>
      <c r="D31" s="58" t="s">
        <v>76</v>
      </c>
      <c r="E31" s="59">
        <f>SUM(E32:E42)</f>
        <v>0</v>
      </c>
      <c r="F31" s="59">
        <f t="shared" ref="F31:S31" si="10">SUM(F32:F42)</f>
        <v>0</v>
      </c>
      <c r="G31" s="59">
        <f>SUM(G32:G42)</f>
        <v>246462.3</v>
      </c>
      <c r="H31" s="59">
        <f t="shared" si="10"/>
        <v>107196</v>
      </c>
      <c r="I31" s="59">
        <f t="shared" si="10"/>
        <v>0</v>
      </c>
      <c r="J31" s="59">
        <f t="shared" si="10"/>
        <v>0</v>
      </c>
      <c r="K31" s="59">
        <f t="shared" si="10"/>
        <v>0</v>
      </c>
      <c r="L31" s="59">
        <f t="shared" si="10"/>
        <v>4235</v>
      </c>
      <c r="M31" s="59">
        <f t="shared" si="10"/>
        <v>34707.599999999999</v>
      </c>
      <c r="N31" s="59">
        <f t="shared" si="10"/>
        <v>0</v>
      </c>
      <c r="O31" s="59">
        <f t="shared" si="10"/>
        <v>0</v>
      </c>
      <c r="P31" s="59">
        <f t="shared" si="10"/>
        <v>0</v>
      </c>
      <c r="Q31" s="59">
        <f t="shared" si="10"/>
        <v>64840.299999999996</v>
      </c>
      <c r="R31" s="59">
        <f t="shared" si="10"/>
        <v>34408.400000000001</v>
      </c>
      <c r="S31" s="59">
        <f t="shared" si="10"/>
        <v>1075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s="28" customFormat="1" x14ac:dyDescent="0.2">
      <c r="A32" s="38"/>
      <c r="B32" s="38" t="str">
        <f t="shared" si="1"/>
        <v>b</v>
      </c>
      <c r="C32" s="60"/>
      <c r="D32" s="61" t="s">
        <v>77</v>
      </c>
      <c r="E32" s="42"/>
      <c r="F32" s="42"/>
      <c r="G32" s="42">
        <f t="shared" si="6"/>
        <v>0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s="28" customFormat="1" x14ac:dyDescent="0.2">
      <c r="A33" s="38"/>
      <c r="B33" s="38" t="str">
        <f t="shared" si="1"/>
        <v>b</v>
      </c>
      <c r="C33" s="60"/>
      <c r="D33" s="61" t="s">
        <v>78</v>
      </c>
      <c r="E33" s="42"/>
      <c r="F33" s="42"/>
      <c r="G33" s="42">
        <f t="shared" si="6"/>
        <v>0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s="28" customFormat="1" x14ac:dyDescent="0.2">
      <c r="A34" s="30"/>
      <c r="B34" s="30" t="str">
        <f t="shared" si="1"/>
        <v>a</v>
      </c>
      <c r="C34" s="60"/>
      <c r="D34" s="61" t="s">
        <v>79</v>
      </c>
      <c r="E34" s="42"/>
      <c r="F34" s="42"/>
      <c r="G34" s="42">
        <f t="shared" si="6"/>
        <v>66731.199999999997</v>
      </c>
      <c r="H34" s="42">
        <v>60000</v>
      </c>
      <c r="I34" s="42"/>
      <c r="J34" s="42"/>
      <c r="K34" s="42"/>
      <c r="L34" s="42"/>
      <c r="M34" s="42">
        <v>2200</v>
      </c>
      <c r="N34" s="42"/>
      <c r="O34" s="42"/>
      <c r="P34" s="42"/>
      <c r="Q34" s="42">
        <v>4531.2</v>
      </c>
      <c r="R34" s="42"/>
      <c r="S34" s="42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s="28" customFormat="1" x14ac:dyDescent="0.2">
      <c r="A35" s="38"/>
      <c r="B35" s="38" t="str">
        <f t="shared" si="1"/>
        <v>b</v>
      </c>
      <c r="C35" s="60"/>
      <c r="D35" s="61" t="s">
        <v>80</v>
      </c>
      <c r="E35" s="42"/>
      <c r="F35" s="42"/>
      <c r="G35" s="42">
        <f t="shared" si="6"/>
        <v>0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s="28" customFormat="1" x14ac:dyDescent="0.2">
      <c r="A36" s="38"/>
      <c r="B36" s="38" t="str">
        <f t="shared" si="1"/>
        <v>a</v>
      </c>
      <c r="C36" s="60"/>
      <c r="D36" s="61" t="s">
        <v>81</v>
      </c>
      <c r="E36" s="42"/>
      <c r="F36" s="42"/>
      <c r="G36" s="42">
        <f t="shared" si="6"/>
        <v>178601.1</v>
      </c>
      <c r="H36" s="42">
        <v>47196</v>
      </c>
      <c r="I36" s="42"/>
      <c r="J36" s="42"/>
      <c r="K36" s="42"/>
      <c r="L36" s="42">
        <v>4180</v>
      </c>
      <c r="M36" s="42">
        <v>32507.599999999999</v>
      </c>
      <c r="N36" s="42"/>
      <c r="O36" s="42"/>
      <c r="P36" s="42"/>
      <c r="Q36" s="42">
        <v>60309.1</v>
      </c>
      <c r="R36" s="42">
        <v>34408.400000000001</v>
      </c>
      <c r="S36" s="42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s="28" customFormat="1" x14ac:dyDescent="0.2">
      <c r="A37" s="30"/>
      <c r="B37" s="30" t="str">
        <f t="shared" si="1"/>
        <v>b</v>
      </c>
      <c r="C37" s="60"/>
      <c r="D37" s="61" t="s">
        <v>82</v>
      </c>
      <c r="E37" s="42"/>
      <c r="F37" s="42"/>
      <c r="G37" s="42">
        <f t="shared" si="6"/>
        <v>0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s="28" customFormat="1" x14ac:dyDescent="0.2">
      <c r="A38" s="38"/>
      <c r="B38" s="38" t="str">
        <f t="shared" si="1"/>
        <v>b</v>
      </c>
      <c r="C38" s="60"/>
      <c r="D38" s="61" t="s">
        <v>83</v>
      </c>
      <c r="E38" s="42"/>
      <c r="F38" s="42"/>
      <c r="G38" s="42">
        <f t="shared" si="6"/>
        <v>0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s="28" customFormat="1" x14ac:dyDescent="0.2">
      <c r="A39" s="38"/>
      <c r="B39" s="38" t="str">
        <f t="shared" si="1"/>
        <v>b</v>
      </c>
      <c r="C39" s="60"/>
      <c r="D39" s="61" t="s">
        <v>84</v>
      </c>
      <c r="E39" s="42"/>
      <c r="F39" s="42"/>
      <c r="G39" s="42">
        <f t="shared" si="6"/>
        <v>920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>
        <v>920</v>
      </c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s="28" customFormat="1" x14ac:dyDescent="0.25">
      <c r="A40" s="38"/>
      <c r="B40" s="38" t="str">
        <f t="shared" si="1"/>
        <v>b</v>
      </c>
      <c r="C40" s="60"/>
      <c r="D40" s="61" t="s">
        <v>85</v>
      </c>
      <c r="E40" s="42"/>
      <c r="F40" s="42"/>
      <c r="G40" s="42">
        <f t="shared" si="6"/>
        <v>0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34" s="28" customFormat="1" x14ac:dyDescent="0.25">
      <c r="A41" s="38"/>
      <c r="B41" s="38" t="str">
        <f t="shared" si="1"/>
        <v>b</v>
      </c>
      <c r="C41" s="60"/>
      <c r="D41" s="61" t="s">
        <v>86</v>
      </c>
      <c r="E41" s="42"/>
      <c r="F41" s="42"/>
      <c r="G41" s="42">
        <f t="shared" si="6"/>
        <v>0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34" s="28" customFormat="1" ht="36" x14ac:dyDescent="0.25">
      <c r="A42" s="30"/>
      <c r="B42" s="30" t="str">
        <f t="shared" si="1"/>
        <v>a</v>
      </c>
      <c r="C42" s="60"/>
      <c r="D42" s="61" t="s">
        <v>87</v>
      </c>
      <c r="E42" s="42"/>
      <c r="F42" s="42"/>
      <c r="G42" s="42">
        <f t="shared" si="6"/>
        <v>210</v>
      </c>
      <c r="H42" s="42"/>
      <c r="I42" s="42"/>
      <c r="J42" s="42"/>
      <c r="K42" s="42"/>
      <c r="L42" s="42">
        <v>55</v>
      </c>
      <c r="M42" s="42"/>
      <c r="N42" s="42"/>
      <c r="O42" s="42"/>
      <c r="P42" s="42"/>
      <c r="Q42" s="42"/>
      <c r="R42" s="42"/>
      <c r="S42" s="42">
        <v>155</v>
      </c>
    </row>
    <row r="43" spans="1:34" s="28" customFormat="1" ht="36" x14ac:dyDescent="0.25">
      <c r="A43" s="30"/>
      <c r="B43" s="30" t="str">
        <f t="shared" si="1"/>
        <v>a</v>
      </c>
      <c r="C43" s="57"/>
      <c r="D43" s="58" t="s">
        <v>88</v>
      </c>
      <c r="E43" s="64">
        <f>SUM(E44:E46)</f>
        <v>0</v>
      </c>
      <c r="F43" s="64">
        <f t="shared" ref="F43:S43" si="11">SUM(F44:F46)</f>
        <v>0</v>
      </c>
      <c r="G43" s="42">
        <f t="shared" si="6"/>
        <v>95609.600000000006</v>
      </c>
      <c r="H43" s="64">
        <f t="shared" si="11"/>
        <v>41294</v>
      </c>
      <c r="I43" s="64">
        <f t="shared" si="11"/>
        <v>33</v>
      </c>
      <c r="J43" s="64">
        <f t="shared" si="11"/>
        <v>1005</v>
      </c>
      <c r="K43" s="64">
        <f t="shared" si="11"/>
        <v>348</v>
      </c>
      <c r="L43" s="64">
        <f t="shared" si="11"/>
        <v>76</v>
      </c>
      <c r="M43" s="64">
        <v>19511</v>
      </c>
      <c r="N43" s="64">
        <f t="shared" si="11"/>
        <v>7846</v>
      </c>
      <c r="O43" s="64">
        <f t="shared" si="11"/>
        <v>3856</v>
      </c>
      <c r="P43" s="64">
        <f t="shared" si="11"/>
        <v>1992</v>
      </c>
      <c r="Q43" s="64">
        <f t="shared" si="11"/>
        <v>786</v>
      </c>
      <c r="R43" s="64">
        <f t="shared" si="11"/>
        <v>11361.74</v>
      </c>
      <c r="S43" s="64">
        <f t="shared" si="11"/>
        <v>7500.86</v>
      </c>
    </row>
    <row r="44" spans="1:34" s="28" customFormat="1" x14ac:dyDescent="0.25">
      <c r="A44" s="38"/>
      <c r="B44" s="38" t="str">
        <f t="shared" si="1"/>
        <v>a</v>
      </c>
      <c r="C44" s="60"/>
      <c r="D44" s="61" t="s">
        <v>89</v>
      </c>
      <c r="E44" s="42"/>
      <c r="F44" s="42"/>
      <c r="G44" s="42">
        <f t="shared" si="6"/>
        <v>71043.5</v>
      </c>
      <c r="H44" s="42">
        <v>41294</v>
      </c>
      <c r="I44" s="42"/>
      <c r="J44" s="42"/>
      <c r="K44" s="42"/>
      <c r="L44" s="42"/>
      <c r="M44" s="42"/>
      <c r="N44" s="42">
        <v>7728</v>
      </c>
      <c r="O44" s="42">
        <v>3841</v>
      </c>
      <c r="P44" s="42">
        <v>1620</v>
      </c>
      <c r="Q44" s="42"/>
      <c r="R44" s="42">
        <v>9721.2199999999993</v>
      </c>
      <c r="S44" s="42">
        <v>6839.28</v>
      </c>
    </row>
    <row r="45" spans="1:34" s="28" customFormat="1" x14ac:dyDescent="0.25">
      <c r="A45" s="38"/>
      <c r="B45" s="38" t="str">
        <f t="shared" si="1"/>
        <v>b</v>
      </c>
      <c r="C45" s="60"/>
      <c r="D45" s="61" t="s">
        <v>90</v>
      </c>
      <c r="E45" s="42"/>
      <c r="F45" s="42"/>
      <c r="G45" s="42">
        <f t="shared" si="6"/>
        <v>0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1:34" s="28" customFormat="1" ht="36" x14ac:dyDescent="0.25">
      <c r="A46" s="30"/>
      <c r="B46" s="30" t="str">
        <f t="shared" si="1"/>
        <v>a</v>
      </c>
      <c r="C46" s="60"/>
      <c r="D46" s="61" t="s">
        <v>91</v>
      </c>
      <c r="E46" s="42"/>
      <c r="F46" s="42"/>
      <c r="G46" s="42">
        <f t="shared" si="6"/>
        <v>24566.100000000002</v>
      </c>
      <c r="H46" s="42"/>
      <c r="I46" s="42">
        <v>33</v>
      </c>
      <c r="J46" s="42">
        <v>1005</v>
      </c>
      <c r="K46" s="42">
        <v>348</v>
      </c>
      <c r="L46" s="42">
        <v>76</v>
      </c>
      <c r="M46" s="42">
        <v>19511</v>
      </c>
      <c r="N46" s="42">
        <v>118</v>
      </c>
      <c r="O46" s="42">
        <v>15</v>
      </c>
      <c r="P46" s="42">
        <v>372</v>
      </c>
      <c r="Q46" s="42">
        <v>786</v>
      </c>
      <c r="R46" s="42">
        <v>1640.52</v>
      </c>
      <c r="S46" s="42">
        <v>661.58</v>
      </c>
    </row>
    <row r="47" spans="1:34" s="28" customFormat="1" ht="36" x14ac:dyDescent="0.25">
      <c r="A47" s="30"/>
      <c r="B47" s="30" t="str">
        <f t="shared" si="1"/>
        <v>a</v>
      </c>
      <c r="C47" s="57"/>
      <c r="D47" s="58" t="s">
        <v>92</v>
      </c>
      <c r="E47" s="62"/>
      <c r="F47" s="62"/>
      <c r="G47" s="42">
        <f t="shared" si="6"/>
        <v>7369.7</v>
      </c>
      <c r="H47" s="62"/>
      <c r="I47" s="62">
        <v>905</v>
      </c>
      <c r="J47" s="62"/>
      <c r="K47" s="62"/>
      <c r="L47" s="62"/>
      <c r="M47" s="62"/>
      <c r="N47" s="62">
        <v>785.8</v>
      </c>
      <c r="O47" s="62">
        <v>380.4</v>
      </c>
      <c r="P47" s="62">
        <v>930</v>
      </c>
      <c r="Q47" s="62"/>
      <c r="R47" s="62">
        <v>4368.5</v>
      </c>
      <c r="S47" s="62"/>
    </row>
    <row r="48" spans="1:34" s="28" customFormat="1" ht="36" x14ac:dyDescent="0.25">
      <c r="A48" s="38"/>
      <c r="B48" s="38" t="str">
        <f t="shared" si="1"/>
        <v>b</v>
      </c>
      <c r="C48" s="57"/>
      <c r="D48" s="58" t="s">
        <v>93</v>
      </c>
      <c r="E48" s="62"/>
      <c r="F48" s="62"/>
      <c r="G48" s="42">
        <f t="shared" si="6"/>
        <v>0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spans="1:19" s="28" customFormat="1" ht="36" x14ac:dyDescent="0.25">
      <c r="A49" s="30"/>
      <c r="B49" s="30" t="str">
        <f t="shared" si="1"/>
        <v>a</v>
      </c>
      <c r="C49" s="57"/>
      <c r="D49" s="58" t="s">
        <v>94</v>
      </c>
      <c r="E49" s="62"/>
      <c r="F49" s="62"/>
      <c r="G49" s="42">
        <f t="shared" si="6"/>
        <v>7542.2899999999991</v>
      </c>
      <c r="H49" s="62">
        <v>129.30000000000001</v>
      </c>
      <c r="I49" s="62">
        <v>125</v>
      </c>
      <c r="J49" s="62">
        <v>61</v>
      </c>
      <c r="K49" s="62">
        <v>957.5</v>
      </c>
      <c r="L49" s="89">
        <v>4093.48</v>
      </c>
      <c r="M49" s="62"/>
      <c r="N49" s="62">
        <v>1199.77</v>
      </c>
      <c r="O49" s="62"/>
      <c r="P49" s="62"/>
      <c r="Q49" s="62"/>
      <c r="R49" s="62"/>
      <c r="S49" s="62">
        <v>976.24</v>
      </c>
    </row>
    <row r="50" spans="1:19" s="28" customFormat="1" ht="56.25" customHeight="1" x14ac:dyDescent="0.25">
      <c r="A50" s="30"/>
      <c r="B50" s="30" t="str">
        <f t="shared" si="1"/>
        <v>a</v>
      </c>
      <c r="C50" s="57"/>
      <c r="D50" s="58" t="s">
        <v>95</v>
      </c>
      <c r="E50" s="62"/>
      <c r="F50" s="62"/>
      <c r="G50" s="42">
        <f t="shared" si="6"/>
        <v>15480.5</v>
      </c>
      <c r="H50" s="62"/>
      <c r="I50" s="62"/>
      <c r="J50" s="62"/>
      <c r="K50" s="62"/>
      <c r="L50" s="62"/>
      <c r="M50" s="62">
        <v>8270.5</v>
      </c>
      <c r="N50" s="62"/>
      <c r="O50" s="62"/>
      <c r="P50" s="62">
        <v>7110</v>
      </c>
      <c r="Q50" s="62"/>
      <c r="R50" s="62"/>
      <c r="S50" s="62">
        <v>100</v>
      </c>
    </row>
    <row r="51" spans="1:19" s="28" customFormat="1" x14ac:dyDescent="0.25">
      <c r="A51" s="30"/>
      <c r="B51" s="30" t="e">
        <f>IF(OR(#REF!&lt;&gt;0,H51&lt;&gt;0,K51&lt;&gt;0,L51&lt;&gt;0,M51&lt;&gt;0,N51&lt;&gt;0),"a","b")</f>
        <v>#REF!</v>
      </c>
      <c r="C51" s="57"/>
      <c r="D51" s="58" t="s">
        <v>96</v>
      </c>
      <c r="E51" s="62"/>
      <c r="F51" s="62"/>
      <c r="G51" s="42">
        <f>SUM(H51:S51)</f>
        <v>442464.74</v>
      </c>
      <c r="H51" s="62">
        <v>10390.06</v>
      </c>
      <c r="I51" s="28">
        <v>35817.14</v>
      </c>
      <c r="J51" s="62">
        <v>35588.68</v>
      </c>
      <c r="K51" s="62">
        <v>36702.67</v>
      </c>
      <c r="L51" s="62">
        <v>36447.79</v>
      </c>
      <c r="M51" s="62">
        <v>36376.910000000003</v>
      </c>
      <c r="N51" s="62">
        <v>36205.760000000002</v>
      </c>
      <c r="O51" s="62">
        <v>20311.34</v>
      </c>
      <c r="P51" s="62">
        <v>55783.86</v>
      </c>
      <c r="Q51" s="62">
        <v>37359.35</v>
      </c>
      <c r="R51" s="62">
        <v>38001.25</v>
      </c>
      <c r="S51" s="62">
        <v>63479.93</v>
      </c>
    </row>
    <row r="52" spans="1:19" s="28" customFormat="1" x14ac:dyDescent="0.25">
      <c r="A52" s="30"/>
      <c r="B52" s="30" t="e">
        <f>IF(OR(#REF!&lt;&gt;0,H52&lt;&gt;0,K52&lt;&gt;0,L52&lt;&gt;0,M52&lt;&gt;0,N52&lt;&gt;0),"a","b")</f>
        <v>#REF!</v>
      </c>
      <c r="C52" s="57"/>
      <c r="D52" s="58" t="s">
        <v>97</v>
      </c>
      <c r="E52" s="62"/>
      <c r="F52" s="62"/>
      <c r="G52" s="42">
        <f>SUM(H52:S52)</f>
        <v>255684.62999999998</v>
      </c>
      <c r="H52" s="62">
        <v>22594.31</v>
      </c>
      <c r="I52" s="28">
        <v>20001.87</v>
      </c>
      <c r="J52" s="62">
        <v>21086.58</v>
      </c>
      <c r="K52" s="62">
        <v>25421.360000000001</v>
      </c>
      <c r="L52" s="62">
        <v>20562.45</v>
      </c>
      <c r="M52" s="62">
        <v>27379.63</v>
      </c>
      <c r="N52" s="62">
        <v>21494.89</v>
      </c>
      <c r="O52" s="62">
        <v>23260.81</v>
      </c>
      <c r="P52" s="62">
        <v>24153.200000000001</v>
      </c>
      <c r="Q52" s="62">
        <v>21788.25</v>
      </c>
      <c r="R52" s="62">
        <v>153.55000000000001</v>
      </c>
      <c r="S52" s="62">
        <v>27787.73</v>
      </c>
    </row>
    <row r="53" spans="1:19" s="28" customFormat="1" x14ac:dyDescent="0.25">
      <c r="A53" s="30"/>
      <c r="B53" s="30" t="str">
        <f t="shared" si="1"/>
        <v>a</v>
      </c>
      <c r="C53" s="57"/>
      <c r="D53" s="58" t="s">
        <v>98</v>
      </c>
      <c r="E53" s="59">
        <f>SUM(E54:E60)</f>
        <v>0</v>
      </c>
      <c r="F53" s="59">
        <f t="shared" ref="F53:S53" si="12">SUM(F54:F60)</f>
        <v>0</v>
      </c>
      <c r="G53" s="59">
        <f>SUM(G54:G60)</f>
        <v>863087.8600000001</v>
      </c>
      <c r="H53" s="59">
        <f t="shared" si="12"/>
        <v>71078.900000000009</v>
      </c>
      <c r="I53" s="59">
        <f t="shared" si="12"/>
        <v>108592.65000000002</v>
      </c>
      <c r="J53" s="59">
        <f t="shared" si="12"/>
        <v>106453.09</v>
      </c>
      <c r="K53" s="59">
        <f t="shared" si="12"/>
        <v>94707.94</v>
      </c>
      <c r="L53" s="59">
        <f t="shared" si="12"/>
        <v>60778.65</v>
      </c>
      <c r="M53" s="59">
        <f t="shared" si="12"/>
        <v>49065.590000000004</v>
      </c>
      <c r="N53" s="59">
        <f t="shared" si="12"/>
        <v>53926.810000000005</v>
      </c>
      <c r="O53" s="59">
        <f t="shared" si="12"/>
        <v>58162.66</v>
      </c>
      <c r="P53" s="59">
        <f t="shared" si="12"/>
        <v>54159.850000000006</v>
      </c>
      <c r="Q53" s="59">
        <f t="shared" si="12"/>
        <v>48457.450000000004</v>
      </c>
      <c r="R53" s="59">
        <f t="shared" si="12"/>
        <v>49633.83</v>
      </c>
      <c r="S53" s="59">
        <f t="shared" si="12"/>
        <v>108070.44</v>
      </c>
    </row>
    <row r="54" spans="1:19" s="28" customFormat="1" x14ac:dyDescent="0.25">
      <c r="A54" s="30"/>
      <c r="B54" s="30" t="str">
        <f t="shared" si="1"/>
        <v>a</v>
      </c>
      <c r="C54" s="60"/>
      <c r="D54" s="61" t="s">
        <v>99</v>
      </c>
      <c r="E54" s="42"/>
      <c r="F54" s="42"/>
      <c r="G54" s="42">
        <f t="shared" si="6"/>
        <v>259728.54</v>
      </c>
      <c r="H54" s="42">
        <v>26296.880000000001</v>
      </c>
      <c r="I54" s="42">
        <v>28388.46</v>
      </c>
      <c r="J54" s="42">
        <v>26316.2</v>
      </c>
      <c r="K54" s="42">
        <v>24427.439999999999</v>
      </c>
      <c r="L54" s="42">
        <v>17266.099999999999</v>
      </c>
      <c r="M54" s="42">
        <v>15073.1</v>
      </c>
      <c r="N54" s="42">
        <v>20722.88</v>
      </c>
      <c r="O54" s="42">
        <v>25417.59</v>
      </c>
      <c r="P54" s="42">
        <v>21508.43</v>
      </c>
      <c r="Q54" s="42">
        <v>16412.61</v>
      </c>
      <c r="R54" s="42">
        <v>14548.48</v>
      </c>
      <c r="S54" s="42">
        <v>23350.37</v>
      </c>
    </row>
    <row r="55" spans="1:19" s="28" customFormat="1" x14ac:dyDescent="0.25">
      <c r="A55" s="30"/>
      <c r="B55" s="30" t="str">
        <f t="shared" si="1"/>
        <v>a</v>
      </c>
      <c r="C55" s="60"/>
      <c r="D55" s="61" t="s">
        <v>100</v>
      </c>
      <c r="E55" s="42"/>
      <c r="F55" s="42"/>
      <c r="G55" s="42">
        <f t="shared" si="6"/>
        <v>69077.55</v>
      </c>
      <c r="H55" s="42">
        <v>7118.43</v>
      </c>
      <c r="I55" s="42">
        <v>5883.25</v>
      </c>
      <c r="J55" s="42">
        <v>5691.58</v>
      </c>
      <c r="K55" s="42">
        <v>5054.13</v>
      </c>
      <c r="L55" s="42">
        <v>4646.2299999999996</v>
      </c>
      <c r="M55" s="42">
        <v>6014.34</v>
      </c>
      <c r="N55" s="42">
        <v>6253.24</v>
      </c>
      <c r="O55" s="42">
        <v>5892.78</v>
      </c>
      <c r="P55" s="42">
        <v>5825.82</v>
      </c>
      <c r="Q55" s="42">
        <v>5147.29</v>
      </c>
      <c r="R55" s="42">
        <v>6297.07</v>
      </c>
      <c r="S55" s="42">
        <v>5253.39</v>
      </c>
    </row>
    <row r="56" spans="1:19" s="28" customFormat="1" x14ac:dyDescent="0.25">
      <c r="A56" s="30"/>
      <c r="B56" s="30" t="str">
        <f t="shared" si="1"/>
        <v>a</v>
      </c>
      <c r="C56" s="60"/>
      <c r="D56" s="61" t="s">
        <v>101</v>
      </c>
      <c r="E56" s="42"/>
      <c r="F56" s="42"/>
      <c r="G56" s="42">
        <f t="shared" si="6"/>
        <v>184937.73000000004</v>
      </c>
      <c r="H56" s="42">
        <v>31918.49</v>
      </c>
      <c r="I56" s="42">
        <v>41668.800000000003</v>
      </c>
      <c r="J56" s="42">
        <v>40415.96</v>
      </c>
      <c r="K56" s="42">
        <v>31425.52</v>
      </c>
      <c r="L56" s="42">
        <v>12257.17</v>
      </c>
      <c r="M56" s="42">
        <v>1369</v>
      </c>
      <c r="N56" s="42">
        <v>341.54</v>
      </c>
      <c r="O56" s="42">
        <v>243.14</v>
      </c>
      <c r="P56" s="42">
        <v>216.45</v>
      </c>
      <c r="Q56" s="42">
        <v>288.39999999999998</v>
      </c>
      <c r="R56" s="42">
        <v>2292.17</v>
      </c>
      <c r="S56" s="42">
        <v>22501.09</v>
      </c>
    </row>
    <row r="57" spans="1:19" s="28" customFormat="1" x14ac:dyDescent="0.25">
      <c r="A57" s="38"/>
      <c r="B57" s="38" t="str">
        <f t="shared" si="1"/>
        <v>b</v>
      </c>
      <c r="C57" s="60"/>
      <c r="D57" s="61" t="s">
        <v>102</v>
      </c>
      <c r="E57" s="42"/>
      <c r="F57" s="42"/>
      <c r="G57" s="42">
        <f t="shared" si="6"/>
        <v>0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1:19" s="28" customFormat="1" ht="54" x14ac:dyDescent="0.25">
      <c r="A58" s="38"/>
      <c r="B58" s="38" t="str">
        <f t="shared" si="1"/>
        <v>a</v>
      </c>
      <c r="C58" s="60"/>
      <c r="D58" s="61" t="s">
        <v>103</v>
      </c>
      <c r="E58" s="42"/>
      <c r="F58" s="42"/>
      <c r="G58" s="42">
        <f t="shared" si="6"/>
        <v>31938.780000000002</v>
      </c>
      <c r="H58" s="42">
        <v>5745.1</v>
      </c>
      <c r="I58" s="42">
        <v>7434.49</v>
      </c>
      <c r="J58" s="42">
        <v>7420.2</v>
      </c>
      <c r="K58" s="42">
        <v>7191.7</v>
      </c>
      <c r="L58" s="42"/>
      <c r="M58" s="42"/>
      <c r="N58" s="42"/>
      <c r="O58" s="42"/>
      <c r="P58" s="42"/>
      <c r="Q58" s="42"/>
      <c r="R58" s="42"/>
      <c r="S58" s="42">
        <v>4147.29</v>
      </c>
    </row>
    <row r="59" spans="1:19" s="28" customFormat="1" ht="36" x14ac:dyDescent="0.25">
      <c r="A59" s="30"/>
      <c r="B59" s="30" t="str">
        <f t="shared" si="1"/>
        <v>a</v>
      </c>
      <c r="C59" s="60"/>
      <c r="D59" s="61" t="s">
        <v>104</v>
      </c>
      <c r="E59" s="42"/>
      <c r="F59" s="42"/>
      <c r="G59" s="42">
        <f t="shared" si="6"/>
        <v>317405.25999999995</v>
      </c>
      <c r="H59" s="42"/>
      <c r="I59" s="42">
        <v>25217.65</v>
      </c>
      <c r="J59" s="42">
        <v>26609.15</v>
      </c>
      <c r="K59" s="42">
        <v>26609.15</v>
      </c>
      <c r="L59" s="42">
        <v>26609.15</v>
      </c>
      <c r="M59" s="42">
        <v>26609.15</v>
      </c>
      <c r="N59" s="42">
        <v>26609.15</v>
      </c>
      <c r="O59" s="42">
        <v>26609.15</v>
      </c>
      <c r="P59" s="42">
        <v>26609.15</v>
      </c>
      <c r="Q59" s="42">
        <v>26609.15</v>
      </c>
      <c r="R59" s="42">
        <v>26496.11</v>
      </c>
      <c r="S59" s="42">
        <v>52818.3</v>
      </c>
    </row>
    <row r="60" spans="1:19" s="28" customFormat="1" ht="36" x14ac:dyDescent="0.25">
      <c r="A60" s="38"/>
      <c r="B60" s="38" t="str">
        <f t="shared" si="1"/>
        <v>b</v>
      </c>
      <c r="C60" s="60"/>
      <c r="D60" s="61" t="s">
        <v>105</v>
      </c>
      <c r="E60" s="42"/>
      <c r="F60" s="42"/>
      <c r="G60" s="42">
        <f t="shared" si="6"/>
        <v>0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1:19" s="66" customFormat="1" ht="41.25" customHeight="1" x14ac:dyDescent="0.25">
      <c r="A61" s="65"/>
      <c r="B61" s="38" t="str">
        <f t="shared" si="1"/>
        <v>b</v>
      </c>
      <c r="C61" s="57"/>
      <c r="D61" s="58" t="s">
        <v>106</v>
      </c>
      <c r="E61" s="62"/>
      <c r="F61" s="62"/>
      <c r="G61" s="42">
        <f t="shared" si="6"/>
        <v>0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spans="1:19" s="28" customFormat="1" ht="36" x14ac:dyDescent="0.25">
      <c r="A62" s="38"/>
      <c r="B62" s="38" t="str">
        <f t="shared" si="1"/>
        <v>b</v>
      </c>
      <c r="C62" s="57"/>
      <c r="D62" s="58" t="s">
        <v>107</v>
      </c>
      <c r="E62" s="62"/>
      <c r="F62" s="62"/>
      <c r="G62" s="42">
        <f t="shared" si="6"/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19" s="28" customFormat="1" x14ac:dyDescent="0.25">
      <c r="A63" s="30"/>
      <c r="B63" s="30" t="str">
        <f t="shared" si="1"/>
        <v>a</v>
      </c>
      <c r="C63" s="54"/>
      <c r="D63" s="55" t="s">
        <v>108</v>
      </c>
      <c r="E63" s="63"/>
      <c r="F63" s="63"/>
      <c r="G63" s="42">
        <f t="shared" si="6"/>
        <v>536</v>
      </c>
      <c r="H63" s="63"/>
      <c r="I63" s="63"/>
      <c r="J63" s="63"/>
      <c r="K63" s="63">
        <v>262.5</v>
      </c>
      <c r="L63" s="63"/>
      <c r="M63" s="63"/>
      <c r="N63" s="63"/>
      <c r="O63" s="63"/>
      <c r="P63" s="63"/>
      <c r="Q63" s="63">
        <v>273.5</v>
      </c>
      <c r="R63" s="63"/>
      <c r="S63" s="63"/>
    </row>
    <row r="64" spans="1:19" s="28" customFormat="1" x14ac:dyDescent="0.25">
      <c r="A64" s="38"/>
      <c r="B64" s="38" t="str">
        <f t="shared" si="1"/>
        <v>b</v>
      </c>
      <c r="C64" s="54"/>
      <c r="D64" s="55" t="s">
        <v>109</v>
      </c>
      <c r="E64" s="63"/>
      <c r="F64" s="63"/>
      <c r="G64" s="42">
        <f t="shared" si="6"/>
        <v>0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</row>
    <row r="65" spans="1:19" s="28" customFormat="1" x14ac:dyDescent="0.25">
      <c r="A65" s="30"/>
      <c r="B65" s="30" t="str">
        <f t="shared" si="1"/>
        <v>b</v>
      </c>
      <c r="C65" s="54"/>
      <c r="D65" s="55" t="s">
        <v>110</v>
      </c>
      <c r="E65" s="63"/>
      <c r="F65" s="63"/>
      <c r="G65" s="42">
        <f t="shared" si="6"/>
        <v>0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</row>
    <row r="66" spans="1:19" s="28" customFormat="1" ht="36" x14ac:dyDescent="0.25">
      <c r="A66" s="38"/>
      <c r="B66" s="38" t="str">
        <f t="shared" si="1"/>
        <v>a</v>
      </c>
      <c r="C66" s="54"/>
      <c r="D66" s="55" t="s">
        <v>111</v>
      </c>
      <c r="E66" s="63"/>
      <c r="F66" s="63"/>
      <c r="G66" s="42">
        <f t="shared" si="6"/>
        <v>1810.4</v>
      </c>
      <c r="H66" s="63"/>
      <c r="I66" s="63"/>
      <c r="J66" s="63"/>
      <c r="K66" s="63"/>
      <c r="L66" s="63">
        <v>1810.4</v>
      </c>
      <c r="M66" s="63"/>
      <c r="N66" s="63"/>
      <c r="O66" s="63"/>
      <c r="P66" s="63"/>
      <c r="Q66" s="63"/>
      <c r="R66" s="63"/>
      <c r="S66" s="63"/>
    </row>
    <row r="67" spans="1:19" s="28" customFormat="1" ht="36" x14ac:dyDescent="0.25">
      <c r="A67" s="30"/>
      <c r="B67" s="30" t="str">
        <f t="shared" si="1"/>
        <v>a</v>
      </c>
      <c r="C67" s="54"/>
      <c r="D67" s="55" t="s">
        <v>112</v>
      </c>
      <c r="E67" s="63"/>
      <c r="F67" s="63"/>
      <c r="G67" s="42">
        <f>H67+I67+J67+K67+L67+M67+N67+O67+P67+Q67+R67+S67</f>
        <v>388740.57000000007</v>
      </c>
      <c r="H67" s="63">
        <f t="shared" ref="H67:S67" si="13">H68+H69+H70+H71+H72+H73</f>
        <v>28790.100000000002</v>
      </c>
      <c r="I67" s="63">
        <f t="shared" si="13"/>
        <v>34829.410000000003</v>
      </c>
      <c r="J67" s="63">
        <f t="shared" si="13"/>
        <v>25468.59</v>
      </c>
      <c r="K67" s="63">
        <f t="shared" si="13"/>
        <v>40396.14</v>
      </c>
      <c r="L67" s="63">
        <f t="shared" si="13"/>
        <v>29820.33</v>
      </c>
      <c r="M67" s="63">
        <f t="shared" si="13"/>
        <v>26362.370000000003</v>
      </c>
      <c r="N67" s="63">
        <f t="shared" si="13"/>
        <v>30047.200000000001</v>
      </c>
      <c r="O67" s="63">
        <f t="shared" si="13"/>
        <v>27400.29</v>
      </c>
      <c r="P67" s="63">
        <f t="shared" si="13"/>
        <v>28154.590000000004</v>
      </c>
      <c r="Q67" s="63">
        <f t="shared" si="13"/>
        <v>33579.53</v>
      </c>
      <c r="R67" s="63">
        <f t="shared" si="13"/>
        <v>30997.11</v>
      </c>
      <c r="S67" s="63">
        <f t="shared" si="13"/>
        <v>52894.91</v>
      </c>
    </row>
    <row r="68" spans="1:19" s="28" customFormat="1" x14ac:dyDescent="0.25">
      <c r="A68" s="30"/>
      <c r="B68" s="30" t="str">
        <f t="shared" si="1"/>
        <v>a</v>
      </c>
      <c r="C68" s="57"/>
      <c r="D68" s="58" t="s">
        <v>113</v>
      </c>
      <c r="E68" s="62"/>
      <c r="F68" s="62"/>
      <c r="G68" s="42">
        <f t="shared" si="6"/>
        <v>266266.65000000002</v>
      </c>
      <c r="H68" s="62">
        <v>25375.9</v>
      </c>
      <c r="I68" s="62">
        <v>24136.71</v>
      </c>
      <c r="J68" s="62">
        <v>20808.810000000001</v>
      </c>
      <c r="K68" s="62">
        <v>19907.66</v>
      </c>
      <c r="L68" s="62">
        <v>18063.13</v>
      </c>
      <c r="M68" s="62">
        <v>19888.97</v>
      </c>
      <c r="N68" s="62">
        <v>21173.5</v>
      </c>
      <c r="O68" s="62">
        <v>21291.89</v>
      </c>
      <c r="P68" s="62">
        <v>22485.99</v>
      </c>
      <c r="Q68" s="62">
        <v>20267.23</v>
      </c>
      <c r="R68" s="62">
        <v>23141.31</v>
      </c>
      <c r="S68" s="62">
        <v>29725.55</v>
      </c>
    </row>
    <row r="69" spans="1:19" s="28" customFormat="1" x14ac:dyDescent="0.25">
      <c r="A69" s="30"/>
      <c r="B69" s="30" t="str">
        <f t="shared" si="1"/>
        <v>a</v>
      </c>
      <c r="C69" s="57"/>
      <c r="D69" s="58" t="s">
        <v>114</v>
      </c>
      <c r="E69" s="62"/>
      <c r="F69" s="62"/>
      <c r="G69" s="42">
        <f t="shared" si="6"/>
        <v>92521.919999999998</v>
      </c>
      <c r="H69" s="62">
        <v>2191.1999999999998</v>
      </c>
      <c r="I69" s="62">
        <v>7741.7</v>
      </c>
      <c r="J69" s="62">
        <v>4134.78</v>
      </c>
      <c r="K69" s="62">
        <v>8165.48</v>
      </c>
      <c r="L69" s="62">
        <v>11525.2</v>
      </c>
      <c r="M69" s="62">
        <v>6353.4</v>
      </c>
      <c r="N69" s="62">
        <v>5146.7</v>
      </c>
      <c r="O69" s="62">
        <v>5293.4</v>
      </c>
      <c r="P69" s="62">
        <v>5668.6</v>
      </c>
      <c r="Q69" s="62">
        <v>10346.299999999999</v>
      </c>
      <c r="R69" s="62">
        <v>7525.8</v>
      </c>
      <c r="S69" s="62">
        <v>18429.36</v>
      </c>
    </row>
    <row r="70" spans="1:19" s="28" customFormat="1" ht="36" x14ac:dyDescent="0.25">
      <c r="A70" s="30"/>
      <c r="B70" s="30" t="str">
        <f t="shared" si="1"/>
        <v>a</v>
      </c>
      <c r="C70" s="57"/>
      <c r="D70" s="58" t="s">
        <v>115</v>
      </c>
      <c r="E70" s="62"/>
      <c r="F70" s="62"/>
      <c r="G70" s="42">
        <f t="shared" si="6"/>
        <v>29952</v>
      </c>
      <c r="H70" s="62">
        <v>1223</v>
      </c>
      <c r="I70" s="62">
        <v>2951</v>
      </c>
      <c r="J70" s="62">
        <v>525</v>
      </c>
      <c r="K70" s="62">
        <v>12323</v>
      </c>
      <c r="L70" s="62">
        <v>232</v>
      </c>
      <c r="M70" s="62">
        <v>120</v>
      </c>
      <c r="N70" s="62">
        <v>3727</v>
      </c>
      <c r="O70" s="62">
        <v>815</v>
      </c>
      <c r="P70" s="62"/>
      <c r="Q70" s="62">
        <v>2966</v>
      </c>
      <c r="R70" s="62">
        <v>330</v>
      </c>
      <c r="S70" s="62">
        <v>4740</v>
      </c>
    </row>
    <row r="71" spans="1:19" s="28" customFormat="1" ht="36" x14ac:dyDescent="0.25">
      <c r="A71" s="30"/>
      <c r="B71" s="30" t="str">
        <f t="shared" si="1"/>
        <v>b</v>
      </c>
      <c r="C71" s="57"/>
      <c r="D71" s="58" t="s">
        <v>116</v>
      </c>
      <c r="E71" s="62"/>
      <c r="F71" s="62"/>
      <c r="G71" s="42">
        <f t="shared" si="6"/>
        <v>0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s="28" customFormat="1" ht="36" x14ac:dyDescent="0.25">
      <c r="A72" s="38"/>
      <c r="B72" s="38" t="str">
        <f t="shared" ref="B72:B135" si="14">IF(OR(H72&lt;&gt;0,I72&lt;&gt;0,K72&lt;&gt;0,L72&lt;&gt;0,M72&lt;&gt;0,N72&lt;&gt;0),"a","b")</f>
        <v>b</v>
      </c>
      <c r="C72" s="57"/>
      <c r="D72" s="58" t="s">
        <v>117</v>
      </c>
      <c r="E72" s="62"/>
      <c r="F72" s="62"/>
      <c r="G72" s="42">
        <f t="shared" si="6"/>
        <v>0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1:19" s="28" customFormat="1" ht="54" x14ac:dyDescent="0.25">
      <c r="A73" s="38"/>
      <c r="B73" s="38" t="str">
        <f t="shared" si="14"/>
        <v>b</v>
      </c>
      <c r="C73" s="57"/>
      <c r="D73" s="58" t="s">
        <v>118</v>
      </c>
      <c r="E73" s="62"/>
      <c r="F73" s="62"/>
      <c r="G73" s="42">
        <f t="shared" si="6"/>
        <v>0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s="28" customFormat="1" ht="36" x14ac:dyDescent="0.25">
      <c r="A74" s="38"/>
      <c r="B74" s="38" t="str">
        <f t="shared" si="14"/>
        <v>b</v>
      </c>
      <c r="C74" s="54"/>
      <c r="D74" s="55" t="s">
        <v>119</v>
      </c>
      <c r="E74" s="63"/>
      <c r="F74" s="63"/>
      <c r="G74" s="42">
        <f t="shared" si="6"/>
        <v>0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</row>
    <row r="75" spans="1:19" s="28" customFormat="1" x14ac:dyDescent="0.25">
      <c r="A75" s="30"/>
      <c r="B75" s="30" t="str">
        <f t="shared" si="14"/>
        <v>a</v>
      </c>
      <c r="C75" s="54"/>
      <c r="D75" s="55" t="s">
        <v>120</v>
      </c>
      <c r="E75" s="56">
        <f>SUM(E76:E89)</f>
        <v>0</v>
      </c>
      <c r="F75" s="56">
        <f t="shared" ref="F75:S75" si="15">SUM(F76:F89)</f>
        <v>0</v>
      </c>
      <c r="G75" s="56">
        <f>SUM(G76:G89)</f>
        <v>316810.96000000002</v>
      </c>
      <c r="H75" s="56">
        <f>SUM(H76:H89)</f>
        <v>9318.24</v>
      </c>
      <c r="I75" s="56">
        <f t="shared" si="15"/>
        <v>20892.560000000001</v>
      </c>
      <c r="J75" s="56">
        <f t="shared" si="15"/>
        <v>24894.83</v>
      </c>
      <c r="K75" s="56">
        <f t="shared" si="15"/>
        <v>23935.39</v>
      </c>
      <c r="L75" s="56">
        <f t="shared" si="15"/>
        <v>26618.920000000002</v>
      </c>
      <c r="M75" s="56">
        <f t="shared" si="15"/>
        <v>24839.13</v>
      </c>
      <c r="N75" s="56">
        <f t="shared" si="15"/>
        <v>27221.08</v>
      </c>
      <c r="O75" s="56">
        <f t="shared" si="15"/>
        <v>28571.96</v>
      </c>
      <c r="P75" s="56">
        <f t="shared" si="15"/>
        <v>24607.15</v>
      </c>
      <c r="Q75" s="56">
        <f t="shared" si="15"/>
        <v>26840.75</v>
      </c>
      <c r="R75" s="56">
        <f t="shared" si="15"/>
        <v>26633.54</v>
      </c>
      <c r="S75" s="56">
        <f t="shared" si="15"/>
        <v>52437.41</v>
      </c>
    </row>
    <row r="76" spans="1:19" s="28" customFormat="1" x14ac:dyDescent="0.25">
      <c r="A76" s="38"/>
      <c r="B76" s="38" t="str">
        <f t="shared" si="14"/>
        <v>b</v>
      </c>
      <c r="C76" s="57"/>
      <c r="D76" s="58" t="s">
        <v>121</v>
      </c>
      <c r="E76" s="62"/>
      <c r="F76" s="62"/>
      <c r="G76" s="42">
        <f t="shared" si="6"/>
        <v>0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</row>
    <row r="77" spans="1:19" s="28" customFormat="1" ht="36" x14ac:dyDescent="0.25">
      <c r="A77" s="38"/>
      <c r="B77" s="38" t="str">
        <f t="shared" si="14"/>
        <v>b</v>
      </c>
      <c r="C77" s="57"/>
      <c r="D77" s="58" t="s">
        <v>122</v>
      </c>
      <c r="E77" s="62"/>
      <c r="F77" s="62"/>
      <c r="G77" s="42">
        <f t="shared" si="6"/>
        <v>0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</row>
    <row r="78" spans="1:19" s="28" customFormat="1" x14ac:dyDescent="0.25">
      <c r="A78" s="38"/>
      <c r="B78" s="38" t="str">
        <f t="shared" si="14"/>
        <v>a</v>
      </c>
      <c r="C78" s="57"/>
      <c r="D78" s="58" t="s">
        <v>123</v>
      </c>
      <c r="E78" s="62"/>
      <c r="F78" s="62"/>
      <c r="G78" s="42">
        <f t="shared" si="6"/>
        <v>3736.53</v>
      </c>
      <c r="H78" s="62"/>
      <c r="I78" s="62">
        <v>50</v>
      </c>
      <c r="J78" s="62"/>
      <c r="K78" s="62">
        <v>500</v>
      </c>
      <c r="L78" s="62"/>
      <c r="M78" s="62"/>
      <c r="N78" s="62">
        <v>2136.5300000000002</v>
      </c>
      <c r="O78" s="62"/>
      <c r="P78" s="62">
        <v>1000</v>
      </c>
      <c r="Q78" s="62"/>
      <c r="R78" s="62"/>
      <c r="S78" s="62">
        <v>50</v>
      </c>
    </row>
    <row r="79" spans="1:19" s="28" customFormat="1" ht="54" x14ac:dyDescent="0.25">
      <c r="A79" s="38"/>
      <c r="B79" s="38" t="str">
        <f t="shared" si="14"/>
        <v>b</v>
      </c>
      <c r="C79" s="57"/>
      <c r="D79" s="58" t="s">
        <v>124</v>
      </c>
      <c r="E79" s="62"/>
      <c r="F79" s="62"/>
      <c r="G79" s="42">
        <f t="shared" ref="G79:G88" si="16">SUM(H79:S79)</f>
        <v>1325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>
        <v>1325</v>
      </c>
    </row>
    <row r="80" spans="1:19" s="28" customFormat="1" x14ac:dyDescent="0.25">
      <c r="A80" s="38"/>
      <c r="B80" s="38" t="str">
        <f t="shared" si="14"/>
        <v>b</v>
      </c>
      <c r="C80" s="57"/>
      <c r="D80" s="58" t="s">
        <v>125</v>
      </c>
      <c r="E80" s="62"/>
      <c r="F80" s="62"/>
      <c r="G80" s="42">
        <f t="shared" si="16"/>
        <v>0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28" customFormat="1" ht="54" x14ac:dyDescent="0.25">
      <c r="A81" s="38"/>
      <c r="B81" s="38" t="str">
        <f t="shared" si="14"/>
        <v>b</v>
      </c>
      <c r="C81" s="57"/>
      <c r="D81" s="58" t="s">
        <v>126</v>
      </c>
      <c r="E81" s="62"/>
      <c r="F81" s="62"/>
      <c r="G81" s="42">
        <f t="shared" si="16"/>
        <v>0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28" customFormat="1" ht="36" x14ac:dyDescent="0.25">
      <c r="A82" s="30"/>
      <c r="B82" s="30" t="str">
        <f t="shared" si="14"/>
        <v>a</v>
      </c>
      <c r="C82" s="57"/>
      <c r="D82" s="58" t="s">
        <v>127</v>
      </c>
      <c r="E82" s="62"/>
      <c r="F82" s="62"/>
      <c r="G82" s="42">
        <f t="shared" si="16"/>
        <v>7724.8799999999992</v>
      </c>
      <c r="H82" s="62">
        <v>531.78</v>
      </c>
      <c r="I82" s="62"/>
      <c r="J82" s="62"/>
      <c r="K82" s="62">
        <v>50</v>
      </c>
      <c r="L82" s="62">
        <v>301.51</v>
      </c>
      <c r="M82" s="62">
        <v>648.71</v>
      </c>
      <c r="N82" s="62">
        <v>690.86</v>
      </c>
      <c r="O82" s="62">
        <v>789.68</v>
      </c>
      <c r="P82" s="62">
        <v>398.57</v>
      </c>
      <c r="Q82" s="62">
        <v>869.77</v>
      </c>
      <c r="R82" s="62">
        <v>1431.27</v>
      </c>
      <c r="S82" s="62">
        <v>2012.73</v>
      </c>
    </row>
    <row r="83" spans="1:19" s="28" customFormat="1" x14ac:dyDescent="0.25">
      <c r="A83" s="38"/>
      <c r="B83" s="38" t="str">
        <f t="shared" si="14"/>
        <v>b</v>
      </c>
      <c r="C83" s="57"/>
      <c r="D83" s="58" t="s">
        <v>128</v>
      </c>
      <c r="E83" s="62"/>
      <c r="F83" s="62"/>
      <c r="G83" s="42">
        <f t="shared" si="16"/>
        <v>0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28" customFormat="1" x14ac:dyDescent="0.25">
      <c r="A84" s="38"/>
      <c r="B84" s="38" t="str">
        <f t="shared" si="14"/>
        <v>b</v>
      </c>
      <c r="C84" s="57"/>
      <c r="D84" s="58" t="s">
        <v>129</v>
      </c>
      <c r="E84" s="62"/>
      <c r="F84" s="62"/>
      <c r="G84" s="42">
        <f t="shared" si="16"/>
        <v>0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28" customFormat="1" x14ac:dyDescent="0.25">
      <c r="A85" s="30"/>
      <c r="B85" s="30" t="str">
        <f t="shared" si="14"/>
        <v>a</v>
      </c>
      <c r="C85" s="57"/>
      <c r="D85" s="58" t="s">
        <v>130</v>
      </c>
      <c r="E85" s="62"/>
      <c r="F85" s="62"/>
      <c r="G85" s="42">
        <f t="shared" si="16"/>
        <v>118273</v>
      </c>
      <c r="H85" s="62">
        <v>1896.13</v>
      </c>
      <c r="I85" s="62">
        <v>9317.2000000000007</v>
      </c>
      <c r="J85" s="62">
        <v>9317.85</v>
      </c>
      <c r="K85" s="62">
        <v>9217.85</v>
      </c>
      <c r="L85" s="62">
        <v>10480.790000000001</v>
      </c>
      <c r="M85" s="62">
        <v>9317.85</v>
      </c>
      <c r="N85" s="62">
        <v>9317.85</v>
      </c>
      <c r="O85" s="62">
        <v>13362.85</v>
      </c>
      <c r="P85" s="62">
        <v>9316.56</v>
      </c>
      <c r="Q85" s="62">
        <v>9194.52</v>
      </c>
      <c r="R85" s="62">
        <v>9177.85</v>
      </c>
      <c r="S85" s="62">
        <v>18355.7</v>
      </c>
    </row>
    <row r="86" spans="1:19" s="28" customFormat="1" x14ac:dyDescent="0.25">
      <c r="A86" s="38"/>
      <c r="B86" s="38" t="str">
        <f t="shared" si="14"/>
        <v>b</v>
      </c>
      <c r="C86" s="57"/>
      <c r="D86" s="58" t="s">
        <v>131</v>
      </c>
      <c r="E86" s="62"/>
      <c r="F86" s="62"/>
      <c r="G86" s="42">
        <f t="shared" si="16"/>
        <v>0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</row>
    <row r="87" spans="1:19" s="66" customFormat="1" ht="36" x14ac:dyDescent="0.25">
      <c r="A87" s="65"/>
      <c r="B87" s="38" t="str">
        <f t="shared" si="14"/>
        <v>b</v>
      </c>
      <c r="C87" s="57"/>
      <c r="D87" s="58" t="s">
        <v>132</v>
      </c>
      <c r="E87" s="62"/>
      <c r="F87" s="62"/>
      <c r="G87" s="42">
        <f t="shared" si="16"/>
        <v>0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</row>
    <row r="88" spans="1:19" s="66" customFormat="1" x14ac:dyDescent="0.25">
      <c r="A88" s="65"/>
      <c r="B88" s="38" t="str">
        <f t="shared" si="14"/>
        <v>b</v>
      </c>
      <c r="C88" s="57"/>
      <c r="D88" s="58" t="s">
        <v>133</v>
      </c>
      <c r="E88" s="62"/>
      <c r="F88" s="62"/>
      <c r="G88" s="42">
        <f t="shared" si="16"/>
        <v>0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1:19" s="28" customFormat="1" ht="36" x14ac:dyDescent="0.25">
      <c r="A89" s="30"/>
      <c r="B89" s="30" t="e">
        <f>IF(OR(#REF!&lt;&gt;0,H89&lt;&gt;0,K89&lt;&gt;0,L89&lt;&gt;0,M89&lt;&gt;0,N89&lt;&gt;0),"a","b")</f>
        <v>#REF!</v>
      </c>
      <c r="C89" s="57"/>
      <c r="D89" s="58" t="s">
        <v>134</v>
      </c>
      <c r="E89" s="62"/>
      <c r="F89" s="62"/>
      <c r="G89" s="42">
        <f>SUM(H89:S89)</f>
        <v>185751.55000000002</v>
      </c>
      <c r="H89" s="62">
        <v>6890.33</v>
      </c>
      <c r="I89" s="226">
        <v>11525.36</v>
      </c>
      <c r="J89" s="62">
        <v>15576.98</v>
      </c>
      <c r="K89" s="62">
        <v>14167.54</v>
      </c>
      <c r="L89" s="62">
        <v>15836.62</v>
      </c>
      <c r="M89" s="62">
        <v>14872.57</v>
      </c>
      <c r="N89" s="62">
        <v>15075.84</v>
      </c>
      <c r="O89" s="62">
        <v>14419.43</v>
      </c>
      <c r="P89" s="62">
        <v>13892.02</v>
      </c>
      <c r="Q89" s="62">
        <v>16776.46</v>
      </c>
      <c r="R89" s="62">
        <v>16024.42</v>
      </c>
      <c r="S89" s="62">
        <v>30693.98</v>
      </c>
    </row>
    <row r="90" spans="1:19" s="28" customFormat="1" x14ac:dyDescent="0.25">
      <c r="A90" s="38" t="s">
        <v>54</v>
      </c>
      <c r="B90" s="38" t="str">
        <f t="shared" si="14"/>
        <v>b</v>
      </c>
      <c r="C90" s="51"/>
      <c r="D90" s="52" t="s">
        <v>37</v>
      </c>
      <c r="E90" s="67">
        <f>E91+E96+E97</f>
        <v>0</v>
      </c>
      <c r="F90" s="67">
        <f t="shared" ref="F90:S90" si="17">F91+F96+F97</f>
        <v>0</v>
      </c>
      <c r="G90" s="67">
        <f>G91+G96+G97</f>
        <v>0</v>
      </c>
      <c r="H90" s="67">
        <f t="shared" si="17"/>
        <v>0</v>
      </c>
      <c r="I90" s="67">
        <f t="shared" si="17"/>
        <v>0</v>
      </c>
      <c r="J90" s="67">
        <f t="shared" si="17"/>
        <v>0</v>
      </c>
      <c r="K90" s="67">
        <f t="shared" si="17"/>
        <v>0</v>
      </c>
      <c r="L90" s="67">
        <f t="shared" si="17"/>
        <v>0</v>
      </c>
      <c r="M90" s="67">
        <f t="shared" si="17"/>
        <v>0</v>
      </c>
      <c r="N90" s="67">
        <f t="shared" si="17"/>
        <v>0</v>
      </c>
      <c r="O90" s="67">
        <f t="shared" si="17"/>
        <v>0</v>
      </c>
      <c r="P90" s="67">
        <f t="shared" si="17"/>
        <v>0</v>
      </c>
      <c r="Q90" s="67">
        <f t="shared" si="17"/>
        <v>0</v>
      </c>
      <c r="R90" s="67">
        <f t="shared" si="17"/>
        <v>0</v>
      </c>
      <c r="S90" s="67">
        <f t="shared" si="17"/>
        <v>0</v>
      </c>
    </row>
    <row r="91" spans="1:19" s="28" customFormat="1" x14ac:dyDescent="0.25">
      <c r="A91" s="38"/>
      <c r="B91" s="38" t="str">
        <f t="shared" si="14"/>
        <v>b</v>
      </c>
      <c r="C91" s="54"/>
      <c r="D91" s="55" t="s">
        <v>135</v>
      </c>
      <c r="E91" s="59">
        <f>SUM(E92:E95)</f>
        <v>0</v>
      </c>
      <c r="F91" s="59">
        <f t="shared" ref="F91:S91" si="18">SUM(F92:F95)</f>
        <v>0</v>
      </c>
      <c r="G91" s="59">
        <f>SUM(G92:G95)</f>
        <v>0</v>
      </c>
      <c r="H91" s="59">
        <f t="shared" si="18"/>
        <v>0</v>
      </c>
      <c r="I91" s="59">
        <f t="shared" si="18"/>
        <v>0</v>
      </c>
      <c r="J91" s="59">
        <f t="shared" si="18"/>
        <v>0</v>
      </c>
      <c r="K91" s="59">
        <f t="shared" si="18"/>
        <v>0</v>
      </c>
      <c r="L91" s="59">
        <f t="shared" si="18"/>
        <v>0</v>
      </c>
      <c r="M91" s="59">
        <f t="shared" si="18"/>
        <v>0</v>
      </c>
      <c r="N91" s="59">
        <f t="shared" si="18"/>
        <v>0</v>
      </c>
      <c r="O91" s="59">
        <f t="shared" si="18"/>
        <v>0</v>
      </c>
      <c r="P91" s="59">
        <f t="shared" si="18"/>
        <v>0</v>
      </c>
      <c r="Q91" s="59">
        <f t="shared" si="18"/>
        <v>0</v>
      </c>
      <c r="R91" s="59">
        <f t="shared" si="18"/>
        <v>0</v>
      </c>
      <c r="S91" s="59">
        <f t="shared" si="18"/>
        <v>0</v>
      </c>
    </row>
    <row r="92" spans="1:19" s="28" customFormat="1" x14ac:dyDescent="0.25">
      <c r="A92" s="38"/>
      <c r="B92" s="38" t="str">
        <f t="shared" si="14"/>
        <v>b</v>
      </c>
      <c r="C92" s="57"/>
      <c r="D92" s="58" t="s">
        <v>136</v>
      </c>
      <c r="E92" s="62"/>
      <c r="F92" s="62"/>
      <c r="G92" s="42">
        <f t="shared" ref="G92:G98" si="19">SUM(H92:S92)</f>
        <v>0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1:19" s="28" customFormat="1" x14ac:dyDescent="0.25">
      <c r="A93" s="38"/>
      <c r="B93" s="38" t="str">
        <f t="shared" si="14"/>
        <v>b</v>
      </c>
      <c r="C93" s="57"/>
      <c r="D93" s="58" t="s">
        <v>137</v>
      </c>
      <c r="E93" s="62"/>
      <c r="F93" s="62"/>
      <c r="G93" s="42">
        <f t="shared" si="19"/>
        <v>0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1:19" s="28" customFormat="1" x14ac:dyDescent="0.25">
      <c r="A94" s="38"/>
      <c r="B94" s="38" t="str">
        <f t="shared" si="14"/>
        <v>b</v>
      </c>
      <c r="C94" s="57"/>
      <c r="D94" s="58" t="s">
        <v>138</v>
      </c>
      <c r="E94" s="62"/>
      <c r="F94" s="62"/>
      <c r="G94" s="42">
        <f t="shared" si="19"/>
        <v>0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1:19" s="28" customFormat="1" x14ac:dyDescent="0.25">
      <c r="A95" s="38"/>
      <c r="B95" s="38" t="str">
        <f t="shared" si="14"/>
        <v>b</v>
      </c>
      <c r="C95" s="57"/>
      <c r="D95" s="58" t="s">
        <v>139</v>
      </c>
      <c r="E95" s="62"/>
      <c r="F95" s="62"/>
      <c r="G95" s="42">
        <f t="shared" si="19"/>
        <v>0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  <row r="96" spans="1:19" s="28" customFormat="1" ht="36" x14ac:dyDescent="0.25">
      <c r="A96" s="38"/>
      <c r="B96" s="38" t="str">
        <f t="shared" si="14"/>
        <v>b</v>
      </c>
      <c r="C96" s="54"/>
      <c r="D96" s="55" t="s">
        <v>140</v>
      </c>
      <c r="E96" s="63"/>
      <c r="F96" s="63"/>
      <c r="G96" s="42">
        <f t="shared" si="19"/>
        <v>0</v>
      </c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</row>
    <row r="97" spans="1:19" s="28" customFormat="1" ht="36" x14ac:dyDescent="0.25">
      <c r="A97" s="38"/>
      <c r="B97" s="38" t="str">
        <f t="shared" si="14"/>
        <v>b</v>
      </c>
      <c r="C97" s="54"/>
      <c r="D97" s="55" t="s">
        <v>141</v>
      </c>
      <c r="E97" s="63"/>
      <c r="F97" s="63"/>
      <c r="G97" s="42">
        <f t="shared" si="19"/>
        <v>0</v>
      </c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</row>
    <row r="98" spans="1:19" s="28" customFormat="1" x14ac:dyDescent="0.25">
      <c r="A98" s="38" t="s">
        <v>54</v>
      </c>
      <c r="B98" s="38" t="str">
        <f t="shared" si="14"/>
        <v>b</v>
      </c>
      <c r="C98" s="51"/>
      <c r="D98" s="52" t="s">
        <v>38</v>
      </c>
      <c r="E98" s="68"/>
      <c r="F98" s="68"/>
      <c r="G98" s="42">
        <f t="shared" si="19"/>
        <v>0</v>
      </c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s="28" customFormat="1" x14ac:dyDescent="0.25">
      <c r="A99" s="38" t="s">
        <v>54</v>
      </c>
      <c r="B99" s="38" t="str">
        <f t="shared" si="14"/>
        <v>a</v>
      </c>
      <c r="C99" s="51"/>
      <c r="D99" s="52" t="s">
        <v>28</v>
      </c>
      <c r="E99" s="67">
        <f t="shared" ref="E99:F99" si="20">E100+E103+E106</f>
        <v>3000</v>
      </c>
      <c r="F99" s="67">
        <f t="shared" si="20"/>
        <v>39200</v>
      </c>
      <c r="G99" s="67">
        <f>G100+G103+G106</f>
        <v>39168</v>
      </c>
      <c r="H99" s="67">
        <f t="shared" ref="H99:S99" si="21">H100+H103+H106</f>
        <v>39168</v>
      </c>
      <c r="I99" s="67">
        <f t="shared" si="21"/>
        <v>0</v>
      </c>
      <c r="J99" s="67">
        <f t="shared" si="21"/>
        <v>0</v>
      </c>
      <c r="K99" s="67">
        <f t="shared" si="21"/>
        <v>0</v>
      </c>
      <c r="L99" s="67">
        <f t="shared" si="21"/>
        <v>0</v>
      </c>
      <c r="M99" s="67">
        <f t="shared" si="21"/>
        <v>0</v>
      </c>
      <c r="N99" s="67">
        <f t="shared" si="21"/>
        <v>0</v>
      </c>
      <c r="O99" s="67">
        <f t="shared" si="21"/>
        <v>0</v>
      </c>
      <c r="P99" s="67">
        <f t="shared" si="21"/>
        <v>0</v>
      </c>
      <c r="Q99" s="67">
        <f t="shared" si="21"/>
        <v>0</v>
      </c>
      <c r="R99" s="67">
        <f t="shared" si="21"/>
        <v>0</v>
      </c>
      <c r="S99" s="67">
        <f t="shared" si="21"/>
        <v>0</v>
      </c>
    </row>
    <row r="100" spans="1:19" s="28" customFormat="1" x14ac:dyDescent="0.25">
      <c r="A100" s="38"/>
      <c r="B100" s="38" t="str">
        <f t="shared" si="14"/>
        <v>b</v>
      </c>
      <c r="C100" s="54"/>
      <c r="D100" s="55" t="s">
        <v>142</v>
      </c>
      <c r="E100" s="59">
        <f>SUM(E101:E102)</f>
        <v>0</v>
      </c>
      <c r="F100" s="59">
        <f t="shared" ref="F100:S100" si="22">SUM(F101:F102)</f>
        <v>0</v>
      </c>
      <c r="G100" s="59">
        <f>SUM(G101:G102)</f>
        <v>0</v>
      </c>
      <c r="H100" s="59">
        <f t="shared" si="22"/>
        <v>0</v>
      </c>
      <c r="I100" s="59">
        <f t="shared" si="22"/>
        <v>0</v>
      </c>
      <c r="J100" s="59">
        <f t="shared" si="22"/>
        <v>0</v>
      </c>
      <c r="K100" s="59">
        <f t="shared" si="22"/>
        <v>0</v>
      </c>
      <c r="L100" s="59">
        <f t="shared" si="22"/>
        <v>0</v>
      </c>
      <c r="M100" s="59">
        <f t="shared" si="22"/>
        <v>0</v>
      </c>
      <c r="N100" s="59">
        <f t="shared" si="22"/>
        <v>0</v>
      </c>
      <c r="O100" s="59">
        <f t="shared" si="22"/>
        <v>0</v>
      </c>
      <c r="P100" s="59">
        <f t="shared" si="22"/>
        <v>0</v>
      </c>
      <c r="Q100" s="59">
        <f t="shared" si="22"/>
        <v>0</v>
      </c>
      <c r="R100" s="59">
        <f t="shared" si="22"/>
        <v>0</v>
      </c>
      <c r="S100" s="59">
        <f t="shared" si="22"/>
        <v>0</v>
      </c>
    </row>
    <row r="101" spans="1:19" s="28" customFormat="1" x14ac:dyDescent="0.25">
      <c r="A101" s="38"/>
      <c r="B101" s="38" t="str">
        <f t="shared" si="14"/>
        <v>b</v>
      </c>
      <c r="C101" s="57"/>
      <c r="D101" s="58" t="s">
        <v>143</v>
      </c>
      <c r="E101" s="59"/>
      <c r="F101" s="59"/>
      <c r="G101" s="42">
        <f>SUM(H101:S101)</f>
        <v>0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  <row r="102" spans="1:19" s="28" customFormat="1" x14ac:dyDescent="0.25">
      <c r="A102" s="38"/>
      <c r="B102" s="38" t="str">
        <f t="shared" si="14"/>
        <v>b</v>
      </c>
      <c r="C102" s="57"/>
      <c r="D102" s="58" t="s">
        <v>144</v>
      </c>
      <c r="E102" s="56"/>
      <c r="F102" s="56"/>
      <c r="G102" s="42">
        <f>SUM(H102:S102)</f>
        <v>0</v>
      </c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</row>
    <row r="103" spans="1:19" s="28" customFormat="1" x14ac:dyDescent="0.25">
      <c r="A103" s="38"/>
      <c r="B103" s="38" t="str">
        <f t="shared" si="14"/>
        <v>a</v>
      </c>
      <c r="C103" s="54"/>
      <c r="D103" s="55" t="s">
        <v>145</v>
      </c>
      <c r="E103" s="59">
        <f>SUM(E104:E105)</f>
        <v>3000</v>
      </c>
      <c r="F103" s="59">
        <f t="shared" ref="F103:S103" si="23">SUM(F104:F105)</f>
        <v>39200</v>
      </c>
      <c r="G103" s="59">
        <f>SUM(G104:G105)</f>
        <v>39168</v>
      </c>
      <c r="H103" s="59">
        <f t="shared" si="23"/>
        <v>39168</v>
      </c>
      <c r="I103" s="59">
        <f t="shared" si="23"/>
        <v>0</v>
      </c>
      <c r="J103" s="59">
        <f t="shared" si="23"/>
        <v>0</v>
      </c>
      <c r="K103" s="59">
        <f t="shared" si="23"/>
        <v>0</v>
      </c>
      <c r="L103" s="59">
        <f t="shared" si="23"/>
        <v>0</v>
      </c>
      <c r="M103" s="59">
        <f t="shared" si="23"/>
        <v>0</v>
      </c>
      <c r="N103" s="59">
        <f t="shared" si="23"/>
        <v>0</v>
      </c>
      <c r="O103" s="59">
        <f t="shared" si="23"/>
        <v>0</v>
      </c>
      <c r="P103" s="59">
        <f t="shared" si="23"/>
        <v>0</v>
      </c>
      <c r="Q103" s="59">
        <f t="shared" si="23"/>
        <v>0</v>
      </c>
      <c r="R103" s="59">
        <f t="shared" si="23"/>
        <v>0</v>
      </c>
      <c r="S103" s="59">
        <f t="shared" si="23"/>
        <v>0</v>
      </c>
    </row>
    <row r="104" spans="1:19" s="28" customFormat="1" x14ac:dyDescent="0.25">
      <c r="A104" s="38"/>
      <c r="B104" s="38" t="str">
        <f t="shared" si="14"/>
        <v>a</v>
      </c>
      <c r="C104" s="57"/>
      <c r="D104" s="58" t="s">
        <v>143</v>
      </c>
      <c r="E104" s="59">
        <v>3000</v>
      </c>
      <c r="F104" s="59">
        <v>39200</v>
      </c>
      <c r="G104" s="42">
        <f>SUM(H104:S104)</f>
        <v>39168</v>
      </c>
      <c r="H104" s="59">
        <v>39168</v>
      </c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19" s="28" customFormat="1" x14ac:dyDescent="0.25">
      <c r="A105" s="38"/>
      <c r="B105" s="38" t="str">
        <f t="shared" si="14"/>
        <v>b</v>
      </c>
      <c r="C105" s="57"/>
      <c r="D105" s="58" t="s">
        <v>144</v>
      </c>
      <c r="E105" s="56"/>
      <c r="F105" s="56"/>
      <c r="G105" s="42">
        <f>SUM(H105:S105)</f>
        <v>0</v>
      </c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</row>
    <row r="106" spans="1:19" s="28" customFormat="1" x14ac:dyDescent="0.25">
      <c r="A106" s="38"/>
      <c r="B106" s="38" t="str">
        <f t="shared" si="14"/>
        <v>b</v>
      </c>
      <c r="C106" s="54"/>
      <c r="D106" s="55" t="s">
        <v>146</v>
      </c>
      <c r="E106" s="59">
        <f>SUM(E107:E108)</f>
        <v>0</v>
      </c>
      <c r="F106" s="59">
        <f t="shared" ref="F106:S106" si="24">SUM(F107:F108)</f>
        <v>0</v>
      </c>
      <c r="G106" s="59">
        <f>SUM(G107:G108)</f>
        <v>0</v>
      </c>
      <c r="H106" s="59">
        <f t="shared" si="24"/>
        <v>0</v>
      </c>
      <c r="I106" s="59">
        <f t="shared" si="24"/>
        <v>0</v>
      </c>
      <c r="J106" s="59">
        <f t="shared" si="24"/>
        <v>0</v>
      </c>
      <c r="K106" s="59">
        <f t="shared" si="24"/>
        <v>0</v>
      </c>
      <c r="L106" s="59">
        <f t="shared" si="24"/>
        <v>0</v>
      </c>
      <c r="M106" s="59">
        <f t="shared" si="24"/>
        <v>0</v>
      </c>
      <c r="N106" s="59">
        <f t="shared" si="24"/>
        <v>0</v>
      </c>
      <c r="O106" s="59">
        <f t="shared" si="24"/>
        <v>0</v>
      </c>
      <c r="P106" s="59">
        <f t="shared" si="24"/>
        <v>0</v>
      </c>
      <c r="Q106" s="59">
        <f t="shared" si="24"/>
        <v>0</v>
      </c>
      <c r="R106" s="59">
        <f t="shared" si="24"/>
        <v>0</v>
      </c>
      <c r="S106" s="59">
        <f t="shared" si="24"/>
        <v>0</v>
      </c>
    </row>
    <row r="107" spans="1:19" s="28" customFormat="1" x14ac:dyDescent="0.25">
      <c r="A107" s="38"/>
      <c r="B107" s="38" t="str">
        <f t="shared" si="14"/>
        <v>b</v>
      </c>
      <c r="C107" s="57"/>
      <c r="D107" s="58" t="s">
        <v>143</v>
      </c>
      <c r="E107" s="62"/>
      <c r="F107" s="62"/>
      <c r="G107" s="42">
        <f>SUM(H107:S107)</f>
        <v>0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</row>
    <row r="108" spans="1:19" s="28" customFormat="1" x14ac:dyDescent="0.25">
      <c r="A108" s="38"/>
      <c r="B108" s="38" t="str">
        <f t="shared" si="14"/>
        <v>b</v>
      </c>
      <c r="C108" s="57"/>
      <c r="D108" s="58" t="s">
        <v>144</v>
      </c>
      <c r="E108" s="62"/>
      <c r="F108" s="62"/>
      <c r="G108" s="42">
        <f>SUM(H108:S108)</f>
        <v>0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</row>
    <row r="109" spans="1:19" s="28" customFormat="1" x14ac:dyDescent="0.25">
      <c r="A109" s="30" t="s">
        <v>54</v>
      </c>
      <c r="B109" s="30" t="str">
        <f t="shared" si="14"/>
        <v>a</v>
      </c>
      <c r="C109" s="51"/>
      <c r="D109" s="52" t="s">
        <v>39</v>
      </c>
      <c r="E109" s="67">
        <f t="shared" ref="E109:F109" si="25">E110+E113+E116</f>
        <v>99000</v>
      </c>
      <c r="F109" s="67">
        <f t="shared" si="25"/>
        <v>210000</v>
      </c>
      <c r="G109" s="67">
        <f>G110+G113+G116</f>
        <v>206505.5</v>
      </c>
      <c r="H109" s="67">
        <f t="shared" ref="H109:S109" si="26">H110+H113+H116</f>
        <v>7969.88</v>
      </c>
      <c r="I109" s="67">
        <f t="shared" si="26"/>
        <v>21228.5</v>
      </c>
      <c r="J109" s="67">
        <f t="shared" si="26"/>
        <v>19101.84</v>
      </c>
      <c r="K109" s="67">
        <f t="shared" si="26"/>
        <v>14789.89</v>
      </c>
      <c r="L109" s="67">
        <f t="shared" si="26"/>
        <v>26551.74</v>
      </c>
      <c r="M109" s="67">
        <f t="shared" si="26"/>
        <v>17976.189999999999</v>
      </c>
      <c r="N109" s="67">
        <f t="shared" si="26"/>
        <v>14339.42</v>
      </c>
      <c r="O109" s="67">
        <f t="shared" si="26"/>
        <v>10171.64</v>
      </c>
      <c r="P109" s="67">
        <f t="shared" si="26"/>
        <v>14669.1</v>
      </c>
      <c r="Q109" s="67">
        <f t="shared" si="26"/>
        <v>20822.919999999998</v>
      </c>
      <c r="R109" s="67">
        <f t="shared" si="26"/>
        <v>20997.83</v>
      </c>
      <c r="S109" s="67">
        <f t="shared" si="26"/>
        <v>17886.55</v>
      </c>
    </row>
    <row r="110" spans="1:19" s="28" customFormat="1" x14ac:dyDescent="0.25">
      <c r="A110" s="38"/>
      <c r="B110" s="38" t="str">
        <f t="shared" si="14"/>
        <v>b</v>
      </c>
      <c r="C110" s="54"/>
      <c r="D110" s="55" t="s">
        <v>147</v>
      </c>
      <c r="E110" s="59">
        <f>SUM(E111:E112)</f>
        <v>0</v>
      </c>
      <c r="F110" s="59">
        <f t="shared" ref="F110:S110" si="27">SUM(F111:F112)</f>
        <v>0</v>
      </c>
      <c r="G110" s="59">
        <f>SUM(G111:G112)</f>
        <v>0</v>
      </c>
      <c r="H110" s="59">
        <f t="shared" si="27"/>
        <v>0</v>
      </c>
      <c r="I110" s="59">
        <f t="shared" si="27"/>
        <v>0</v>
      </c>
      <c r="J110" s="59">
        <f t="shared" si="27"/>
        <v>0</v>
      </c>
      <c r="K110" s="59">
        <f t="shared" si="27"/>
        <v>0</v>
      </c>
      <c r="L110" s="59">
        <f t="shared" si="27"/>
        <v>0</v>
      </c>
      <c r="M110" s="59">
        <f t="shared" si="27"/>
        <v>0</v>
      </c>
      <c r="N110" s="59">
        <f t="shared" si="27"/>
        <v>0</v>
      </c>
      <c r="O110" s="59">
        <f t="shared" si="27"/>
        <v>0</v>
      </c>
      <c r="P110" s="59">
        <f t="shared" si="27"/>
        <v>0</v>
      </c>
      <c r="Q110" s="59">
        <f t="shared" si="27"/>
        <v>0</v>
      </c>
      <c r="R110" s="59">
        <f t="shared" si="27"/>
        <v>0</v>
      </c>
      <c r="S110" s="59">
        <f t="shared" si="27"/>
        <v>0</v>
      </c>
    </row>
    <row r="111" spans="1:19" s="28" customFormat="1" x14ac:dyDescent="0.25">
      <c r="A111" s="38"/>
      <c r="B111" s="38" t="str">
        <f t="shared" si="14"/>
        <v>b</v>
      </c>
      <c r="C111" s="57"/>
      <c r="D111" s="58" t="s">
        <v>148</v>
      </c>
      <c r="E111" s="59"/>
      <c r="F111" s="59"/>
      <c r="G111" s="42">
        <f>SUM(H111:S111)</f>
        <v>0</v>
      </c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</row>
    <row r="112" spans="1:19" s="28" customFormat="1" x14ac:dyDescent="0.25">
      <c r="A112" s="38"/>
      <c r="B112" s="38" t="str">
        <f t="shared" si="14"/>
        <v>b</v>
      </c>
      <c r="C112" s="57"/>
      <c r="D112" s="58" t="s">
        <v>149</v>
      </c>
      <c r="E112" s="56"/>
      <c r="F112" s="56"/>
      <c r="G112" s="42">
        <f>SUM(H112:S112)</f>
        <v>0</v>
      </c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</row>
    <row r="113" spans="1:19" s="28" customFormat="1" x14ac:dyDescent="0.25">
      <c r="A113" s="38"/>
      <c r="B113" s="38" t="str">
        <f t="shared" si="14"/>
        <v>b</v>
      </c>
      <c r="C113" s="54"/>
      <c r="D113" s="55" t="s">
        <v>150</v>
      </c>
      <c r="E113" s="59">
        <f>SUM(E114:E115)</f>
        <v>0</v>
      </c>
      <c r="F113" s="59">
        <f t="shared" ref="F113:S113" si="28">SUM(F114:F115)</f>
        <v>0</v>
      </c>
      <c r="G113" s="59">
        <f>SUM(G114:G115)</f>
        <v>0</v>
      </c>
      <c r="H113" s="59">
        <f t="shared" si="28"/>
        <v>0</v>
      </c>
      <c r="I113" s="59">
        <f t="shared" si="28"/>
        <v>0</v>
      </c>
      <c r="J113" s="59">
        <f t="shared" si="28"/>
        <v>0</v>
      </c>
      <c r="K113" s="59">
        <f t="shared" si="28"/>
        <v>0</v>
      </c>
      <c r="L113" s="59">
        <f t="shared" si="28"/>
        <v>0</v>
      </c>
      <c r="M113" s="59">
        <f t="shared" si="28"/>
        <v>0</v>
      </c>
      <c r="N113" s="59">
        <f t="shared" si="28"/>
        <v>0</v>
      </c>
      <c r="O113" s="59">
        <f t="shared" si="28"/>
        <v>0</v>
      </c>
      <c r="P113" s="59">
        <f t="shared" si="28"/>
        <v>0</v>
      </c>
      <c r="Q113" s="59">
        <f t="shared" si="28"/>
        <v>0</v>
      </c>
      <c r="R113" s="59">
        <f t="shared" si="28"/>
        <v>0</v>
      </c>
      <c r="S113" s="59">
        <f t="shared" si="28"/>
        <v>0</v>
      </c>
    </row>
    <row r="114" spans="1:19" s="28" customFormat="1" x14ac:dyDescent="0.25">
      <c r="A114" s="38"/>
      <c r="B114" s="38" t="str">
        <f t="shared" si="14"/>
        <v>b</v>
      </c>
      <c r="C114" s="57"/>
      <c r="D114" s="58" t="s">
        <v>148</v>
      </c>
      <c r="E114" s="62"/>
      <c r="F114" s="62"/>
      <c r="G114" s="42">
        <f>SUM(H114:S114)</f>
        <v>0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</row>
    <row r="115" spans="1:19" s="28" customFormat="1" x14ac:dyDescent="0.25">
      <c r="A115" s="38"/>
      <c r="B115" s="38" t="str">
        <f t="shared" si="14"/>
        <v>b</v>
      </c>
      <c r="C115" s="57"/>
      <c r="D115" s="58" t="s">
        <v>149</v>
      </c>
      <c r="E115" s="62"/>
      <c r="F115" s="62"/>
      <c r="G115" s="42">
        <f>SUM(H115:S115)</f>
        <v>0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</row>
    <row r="116" spans="1:19" s="28" customFormat="1" ht="36" x14ac:dyDescent="0.25">
      <c r="A116" s="30"/>
      <c r="B116" s="30" t="str">
        <f t="shared" si="14"/>
        <v>a</v>
      </c>
      <c r="C116" s="69"/>
      <c r="D116" s="70" t="s">
        <v>151</v>
      </c>
      <c r="E116" s="59">
        <f>SUM(E117:E118)</f>
        <v>99000</v>
      </c>
      <c r="F116" s="59">
        <f t="shared" ref="F116:S116" si="29">SUM(F117:F118)</f>
        <v>210000</v>
      </c>
      <c r="G116" s="59">
        <f>SUM(G117:G118)</f>
        <v>206505.5</v>
      </c>
      <c r="H116" s="59">
        <f t="shared" si="29"/>
        <v>7969.88</v>
      </c>
      <c r="I116" s="59">
        <f t="shared" si="29"/>
        <v>21228.5</v>
      </c>
      <c r="J116" s="59">
        <f t="shared" si="29"/>
        <v>19101.84</v>
      </c>
      <c r="K116" s="59">
        <f t="shared" si="29"/>
        <v>14789.89</v>
      </c>
      <c r="L116" s="59">
        <f t="shared" si="29"/>
        <v>26551.74</v>
      </c>
      <c r="M116" s="59">
        <f t="shared" si="29"/>
        <v>17976.189999999999</v>
      </c>
      <c r="N116" s="59">
        <f t="shared" si="29"/>
        <v>14339.42</v>
      </c>
      <c r="O116" s="59">
        <f t="shared" si="29"/>
        <v>10171.64</v>
      </c>
      <c r="P116" s="59">
        <f t="shared" si="29"/>
        <v>14669.1</v>
      </c>
      <c r="Q116" s="59">
        <f t="shared" si="29"/>
        <v>20822.919999999998</v>
      </c>
      <c r="R116" s="59">
        <f t="shared" si="29"/>
        <v>20997.83</v>
      </c>
      <c r="S116" s="59">
        <f t="shared" si="29"/>
        <v>17886.55</v>
      </c>
    </row>
    <row r="117" spans="1:19" s="28" customFormat="1" x14ac:dyDescent="0.25">
      <c r="A117" s="30"/>
      <c r="B117" s="30" t="str">
        <f t="shared" si="14"/>
        <v>a</v>
      </c>
      <c r="C117" s="57"/>
      <c r="D117" s="58" t="s">
        <v>148</v>
      </c>
      <c r="E117" s="62">
        <v>99000</v>
      </c>
      <c r="F117" s="62">
        <v>210000</v>
      </c>
      <c r="G117" s="42">
        <f>SUM(H117:S117)</f>
        <v>206505.5</v>
      </c>
      <c r="H117" s="219">
        <v>7969.88</v>
      </c>
      <c r="I117" s="62">
        <v>21228.5</v>
      </c>
      <c r="J117" s="219">
        <v>19101.84</v>
      </c>
      <c r="K117" s="219">
        <v>14789.89</v>
      </c>
      <c r="L117" s="219">
        <v>26551.74</v>
      </c>
      <c r="M117" s="224">
        <v>17976.189999999999</v>
      </c>
      <c r="N117" s="220">
        <v>14339.42</v>
      </c>
      <c r="O117" s="219">
        <v>10171.64</v>
      </c>
      <c r="P117" s="219">
        <v>14669.1</v>
      </c>
      <c r="Q117" s="219">
        <v>20822.919999999998</v>
      </c>
      <c r="R117" s="219">
        <v>20997.83</v>
      </c>
      <c r="S117" s="219">
        <v>17886.55</v>
      </c>
    </row>
    <row r="118" spans="1:19" s="28" customFormat="1" x14ac:dyDescent="0.25">
      <c r="A118" s="38"/>
      <c r="B118" s="38" t="str">
        <f t="shared" si="14"/>
        <v>b</v>
      </c>
      <c r="C118" s="57"/>
      <c r="D118" s="58" t="s">
        <v>149</v>
      </c>
      <c r="E118" s="62"/>
      <c r="F118" s="62"/>
      <c r="G118" s="42">
        <f>SUM(H118:S118)</f>
        <v>0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</row>
    <row r="119" spans="1:19" s="28" customFormat="1" x14ac:dyDescent="0.25">
      <c r="A119" s="30" t="s">
        <v>54</v>
      </c>
      <c r="B119" s="30" t="str">
        <f t="shared" si="14"/>
        <v>a</v>
      </c>
      <c r="C119" s="51"/>
      <c r="D119" s="52" t="s">
        <v>40</v>
      </c>
      <c r="E119" s="67">
        <v>47000</v>
      </c>
      <c r="F119" s="67">
        <f>F121+F122</f>
        <v>63132</v>
      </c>
      <c r="G119" s="67">
        <f>G120+G121</f>
        <v>56955.399999999994</v>
      </c>
      <c r="H119" s="67">
        <f t="shared" ref="H119:S119" si="30">H120+H121</f>
        <v>674.06</v>
      </c>
      <c r="I119" s="67">
        <f t="shared" si="30"/>
        <v>3919.1400000000003</v>
      </c>
      <c r="J119" s="67">
        <f t="shared" si="30"/>
        <v>3044.98</v>
      </c>
      <c r="K119" s="67">
        <f t="shared" si="30"/>
        <v>8157.4800000000005</v>
      </c>
      <c r="L119" s="67">
        <f t="shared" si="30"/>
        <v>3986.33</v>
      </c>
      <c r="M119" s="67">
        <f t="shared" si="30"/>
        <v>3288.36</v>
      </c>
      <c r="N119" s="67">
        <f t="shared" si="30"/>
        <v>3856.79</v>
      </c>
      <c r="O119" s="67">
        <f t="shared" si="30"/>
        <v>3157.87</v>
      </c>
      <c r="P119" s="67">
        <f t="shared" si="30"/>
        <v>7055.9</v>
      </c>
      <c r="Q119" s="67">
        <f t="shared" si="30"/>
        <v>4125.17</v>
      </c>
      <c r="R119" s="67">
        <f t="shared" si="30"/>
        <v>6836.66</v>
      </c>
      <c r="S119" s="67">
        <f t="shared" si="30"/>
        <v>8852.66</v>
      </c>
    </row>
    <row r="120" spans="1:19" s="28" customFormat="1" ht="16.5" customHeight="1" x14ac:dyDescent="0.25">
      <c r="A120" s="38"/>
      <c r="B120" s="38" t="str">
        <f t="shared" si="14"/>
        <v>b</v>
      </c>
      <c r="C120" s="54"/>
      <c r="D120" s="55" t="s">
        <v>152</v>
      </c>
      <c r="E120" s="63"/>
      <c r="F120" s="63"/>
      <c r="G120" s="42">
        <f>H120+I120+J120+K120+L120+M120+N120+O120+P120+Q120+R120+S120</f>
        <v>0</v>
      </c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</row>
    <row r="121" spans="1:19" s="28" customFormat="1" x14ac:dyDescent="0.25">
      <c r="A121" s="30"/>
      <c r="B121" s="30" t="str">
        <f t="shared" si="14"/>
        <v>a</v>
      </c>
      <c r="C121" s="54"/>
      <c r="D121" s="55" t="s">
        <v>153</v>
      </c>
      <c r="E121" s="63"/>
      <c r="F121" s="63">
        <v>61000</v>
      </c>
      <c r="G121" s="42">
        <f>H121+I121+J121+K121+L121+M121+N121+O121+P121+Q121+R121+S121</f>
        <v>56955.399999999994</v>
      </c>
      <c r="H121" s="64">
        <f>H122+H141</f>
        <v>674.06</v>
      </c>
      <c r="I121" s="64">
        <f>I122+I141</f>
        <v>3919.1400000000003</v>
      </c>
      <c r="J121" s="64">
        <f>J122+J141</f>
        <v>3044.98</v>
      </c>
      <c r="K121" s="64">
        <f t="shared" ref="K121:L121" si="31">K122+K141</f>
        <v>8157.4800000000005</v>
      </c>
      <c r="L121" s="64">
        <f t="shared" si="31"/>
        <v>3986.33</v>
      </c>
      <c r="M121" s="64">
        <f t="shared" ref="M121:S121" si="32">M122+M141</f>
        <v>3288.36</v>
      </c>
      <c r="N121" s="64">
        <f t="shared" si="32"/>
        <v>3856.79</v>
      </c>
      <c r="O121" s="64">
        <f t="shared" si="32"/>
        <v>3157.87</v>
      </c>
      <c r="P121" s="64">
        <f t="shared" si="32"/>
        <v>7055.9</v>
      </c>
      <c r="Q121" s="64">
        <f t="shared" si="32"/>
        <v>4125.17</v>
      </c>
      <c r="R121" s="64">
        <f t="shared" si="32"/>
        <v>6836.66</v>
      </c>
      <c r="S121" s="64">
        <f t="shared" si="32"/>
        <v>8852.66</v>
      </c>
    </row>
    <row r="122" spans="1:19" s="28" customFormat="1" x14ac:dyDescent="0.25">
      <c r="A122" s="30"/>
      <c r="B122" s="30" t="str">
        <f t="shared" si="14"/>
        <v>a</v>
      </c>
      <c r="C122" s="71"/>
      <c r="D122" s="72" t="s">
        <v>154</v>
      </c>
      <c r="E122" s="64">
        <v>0</v>
      </c>
      <c r="F122" s="64">
        <f t="shared" ref="F122:S122" si="33">SUM(F123:F140)</f>
        <v>2132</v>
      </c>
      <c r="G122" s="64">
        <f>SUM(G123:G140)</f>
        <v>54824.19</v>
      </c>
      <c r="H122" s="64">
        <f t="shared" si="33"/>
        <v>674.06</v>
      </c>
      <c r="I122" s="64">
        <f t="shared" si="33"/>
        <v>3919.1400000000003</v>
      </c>
      <c r="J122" s="64">
        <f t="shared" si="33"/>
        <v>3044.98</v>
      </c>
      <c r="K122" s="64">
        <f t="shared" si="33"/>
        <v>8157.4800000000005</v>
      </c>
      <c r="L122" s="64">
        <f t="shared" si="33"/>
        <v>3986.33</v>
      </c>
      <c r="M122" s="64">
        <f t="shared" si="33"/>
        <v>3288.36</v>
      </c>
      <c r="N122" s="64">
        <f t="shared" si="33"/>
        <v>3856.79</v>
      </c>
      <c r="O122" s="64">
        <f t="shared" si="33"/>
        <v>3157.87</v>
      </c>
      <c r="P122" s="64">
        <f t="shared" si="33"/>
        <v>7055.9</v>
      </c>
      <c r="Q122" s="64">
        <f t="shared" si="33"/>
        <v>4125.17</v>
      </c>
      <c r="R122" s="64">
        <f t="shared" si="33"/>
        <v>4705.45</v>
      </c>
      <c r="S122" s="64">
        <f t="shared" si="33"/>
        <v>8852.66</v>
      </c>
    </row>
    <row r="123" spans="1:19" s="28" customFormat="1" ht="54" x14ac:dyDescent="0.25">
      <c r="A123" s="38"/>
      <c r="B123" s="38" t="str">
        <f t="shared" si="14"/>
        <v>b</v>
      </c>
      <c r="C123" s="60"/>
      <c r="D123" s="61" t="s">
        <v>155</v>
      </c>
      <c r="E123" s="42"/>
      <c r="F123" s="42"/>
      <c r="G123" s="42">
        <f t="shared" ref="G123:G141" si="34">SUM(H123:S123)</f>
        <v>0</v>
      </c>
      <c r="H123" s="222"/>
      <c r="I123" s="42"/>
      <c r="J123" s="222"/>
      <c r="K123" s="222"/>
      <c r="L123" s="222"/>
      <c r="M123" s="222"/>
      <c r="N123" s="223"/>
      <c r="O123" s="222"/>
      <c r="P123" s="222"/>
      <c r="Q123" s="222"/>
      <c r="R123" s="222"/>
      <c r="S123" s="222"/>
    </row>
    <row r="124" spans="1:19" s="28" customFormat="1" x14ac:dyDescent="0.25">
      <c r="A124" s="38"/>
      <c r="B124" s="38" t="str">
        <f t="shared" si="14"/>
        <v>b</v>
      </c>
      <c r="C124" s="60"/>
      <c r="D124" s="61" t="s">
        <v>156</v>
      </c>
      <c r="E124" s="42"/>
      <c r="F124" s="42"/>
      <c r="G124" s="42">
        <f t="shared" si="34"/>
        <v>0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</row>
    <row r="125" spans="1:19" s="28" customFormat="1" x14ac:dyDescent="0.25">
      <c r="A125" s="38"/>
      <c r="B125" s="38" t="str">
        <f t="shared" si="14"/>
        <v>b</v>
      </c>
      <c r="C125" s="60"/>
      <c r="D125" s="61" t="s">
        <v>157</v>
      </c>
      <c r="E125" s="42"/>
      <c r="F125" s="42"/>
      <c r="G125" s="42">
        <f t="shared" si="34"/>
        <v>0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</row>
    <row r="126" spans="1:19" s="28" customFormat="1" x14ac:dyDescent="0.25">
      <c r="A126" s="38"/>
      <c r="B126" s="38" t="str">
        <f t="shared" si="14"/>
        <v>a</v>
      </c>
      <c r="C126" s="60"/>
      <c r="D126" s="61" t="s">
        <v>158</v>
      </c>
      <c r="E126" s="42"/>
      <c r="F126" s="42"/>
      <c r="G126" s="42">
        <f t="shared" si="34"/>
        <v>17322.32</v>
      </c>
      <c r="H126" s="42"/>
      <c r="I126" s="42">
        <v>1491.66</v>
      </c>
      <c r="J126" s="42">
        <v>1491.66</v>
      </c>
      <c r="K126" s="42">
        <v>1491.66</v>
      </c>
      <c r="L126" s="42">
        <v>1491.66</v>
      </c>
      <c r="M126" s="42">
        <v>1419.46</v>
      </c>
      <c r="N126" s="42">
        <v>1419.46</v>
      </c>
      <c r="O126" s="42">
        <v>1419.46</v>
      </c>
      <c r="P126" s="42">
        <v>1419.46</v>
      </c>
      <c r="Q126" s="42">
        <v>1419.46</v>
      </c>
      <c r="R126" s="42">
        <v>1419.46</v>
      </c>
      <c r="S126" s="42">
        <v>2838.92</v>
      </c>
    </row>
    <row r="127" spans="1:19" s="28" customFormat="1" x14ac:dyDescent="0.25">
      <c r="A127" s="38"/>
      <c r="B127" s="38" t="str">
        <f t="shared" si="14"/>
        <v>b</v>
      </c>
      <c r="C127" s="60"/>
      <c r="D127" s="61" t="s">
        <v>159</v>
      </c>
      <c r="E127" s="42"/>
      <c r="F127" s="42"/>
      <c r="G127" s="42">
        <f t="shared" si="34"/>
        <v>0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</row>
    <row r="128" spans="1:19" s="28" customFormat="1" x14ac:dyDescent="0.25">
      <c r="A128" s="38"/>
      <c r="B128" s="38" t="str">
        <f t="shared" si="14"/>
        <v>b</v>
      </c>
      <c r="C128" s="60"/>
      <c r="D128" s="61" t="s">
        <v>160</v>
      </c>
      <c r="E128" s="42"/>
      <c r="F128" s="42"/>
      <c r="G128" s="42">
        <f t="shared" si="34"/>
        <v>0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</row>
    <row r="129" spans="1:19" s="28" customFormat="1" x14ac:dyDescent="0.25">
      <c r="A129" s="38"/>
      <c r="B129" s="38" t="str">
        <f t="shared" si="14"/>
        <v>b</v>
      </c>
      <c r="C129" s="60"/>
      <c r="D129" s="61" t="s">
        <v>161</v>
      </c>
      <c r="E129" s="42"/>
      <c r="F129" s="42"/>
      <c r="G129" s="42">
        <f t="shared" si="34"/>
        <v>0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</row>
    <row r="130" spans="1:19" s="28" customFormat="1" x14ac:dyDescent="0.25">
      <c r="A130" s="38"/>
      <c r="B130" s="38" t="str">
        <f t="shared" si="14"/>
        <v>b</v>
      </c>
      <c r="C130" s="60"/>
      <c r="D130" s="61" t="s">
        <v>162</v>
      </c>
      <c r="E130" s="42"/>
      <c r="F130" s="42"/>
      <c r="G130" s="42">
        <f t="shared" si="34"/>
        <v>0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</row>
    <row r="131" spans="1:19" s="28" customFormat="1" x14ac:dyDescent="0.25">
      <c r="A131" s="38"/>
      <c r="B131" s="38" t="str">
        <f t="shared" si="14"/>
        <v>b</v>
      </c>
      <c r="C131" s="60"/>
      <c r="D131" s="61" t="s">
        <v>163</v>
      </c>
      <c r="E131" s="42"/>
      <c r="F131" s="42"/>
      <c r="G131" s="42">
        <f t="shared" si="34"/>
        <v>0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</row>
    <row r="132" spans="1:19" s="28" customFormat="1" x14ac:dyDescent="0.25">
      <c r="A132" s="38"/>
      <c r="B132" s="38" t="str">
        <f t="shared" si="14"/>
        <v>b</v>
      </c>
      <c r="C132" s="60"/>
      <c r="D132" s="61" t="s">
        <v>164</v>
      </c>
      <c r="E132" s="42"/>
      <c r="F132" s="42"/>
      <c r="G132" s="42">
        <f t="shared" si="34"/>
        <v>0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</row>
    <row r="133" spans="1:19" s="28" customFormat="1" ht="18.75" customHeight="1" x14ac:dyDescent="0.25">
      <c r="A133" s="38"/>
      <c r="B133" s="38" t="str">
        <f t="shared" si="14"/>
        <v>b</v>
      </c>
      <c r="C133" s="60"/>
      <c r="D133" s="61" t="s">
        <v>165</v>
      </c>
      <c r="E133" s="42"/>
      <c r="F133" s="42"/>
      <c r="G133" s="42">
        <f t="shared" si="34"/>
        <v>0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</row>
    <row r="134" spans="1:19" s="28" customFormat="1" ht="36" x14ac:dyDescent="0.25">
      <c r="A134" s="38"/>
      <c r="B134" s="38" t="str">
        <f t="shared" si="14"/>
        <v>b</v>
      </c>
      <c r="C134" s="60"/>
      <c r="D134" s="61" t="s">
        <v>166</v>
      </c>
      <c r="E134" s="42"/>
      <c r="F134" s="42"/>
      <c r="G134" s="42">
        <f t="shared" si="34"/>
        <v>0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</row>
    <row r="135" spans="1:19" s="28" customFormat="1" ht="36" x14ac:dyDescent="0.25">
      <c r="A135" s="38"/>
      <c r="B135" s="38" t="str">
        <f t="shared" si="14"/>
        <v>b</v>
      </c>
      <c r="C135" s="60"/>
      <c r="D135" s="61" t="s">
        <v>167</v>
      </c>
      <c r="E135" s="42"/>
      <c r="F135" s="42"/>
      <c r="G135" s="42">
        <f t="shared" si="34"/>
        <v>0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</row>
    <row r="136" spans="1:19" s="28" customFormat="1" ht="36" x14ac:dyDescent="0.25">
      <c r="A136" s="38"/>
      <c r="B136" s="38" t="str">
        <f t="shared" ref="B136:B199" si="35">IF(OR(H136&lt;&gt;0,I136&lt;&gt;0,K136&lt;&gt;0,L136&lt;&gt;0,M136&lt;&gt;0,N136&lt;&gt;0),"a","b")</f>
        <v>b</v>
      </c>
      <c r="C136" s="60"/>
      <c r="D136" s="61" t="s">
        <v>168</v>
      </c>
      <c r="E136" s="42"/>
      <c r="F136" s="42"/>
      <c r="G136" s="42">
        <f t="shared" si="34"/>
        <v>0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</row>
    <row r="137" spans="1:19" s="28" customFormat="1" ht="39.75" customHeight="1" x14ac:dyDescent="0.25">
      <c r="A137" s="38"/>
      <c r="B137" s="38" t="str">
        <f t="shared" si="35"/>
        <v>b</v>
      </c>
      <c r="C137" s="60"/>
      <c r="D137" s="61" t="s">
        <v>169</v>
      </c>
      <c r="E137" s="42"/>
      <c r="F137" s="42"/>
      <c r="G137" s="42">
        <f t="shared" si="34"/>
        <v>0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</row>
    <row r="138" spans="1:19" s="28" customFormat="1" x14ac:dyDescent="0.25">
      <c r="A138" s="38"/>
      <c r="B138" s="38" t="str">
        <f t="shared" si="35"/>
        <v>a</v>
      </c>
      <c r="C138" s="60"/>
      <c r="D138" s="61" t="s">
        <v>170</v>
      </c>
      <c r="E138" s="42"/>
      <c r="F138" s="42"/>
      <c r="G138" s="42">
        <f t="shared" si="34"/>
        <v>28299.690000000002</v>
      </c>
      <c r="H138" s="222">
        <v>626.05999999999995</v>
      </c>
      <c r="I138" s="42">
        <v>2427.48</v>
      </c>
      <c r="J138" s="222">
        <v>1553.32</v>
      </c>
      <c r="K138" s="222">
        <v>3065.82</v>
      </c>
      <c r="L138" s="222">
        <v>2244.67</v>
      </c>
      <c r="M138" s="222">
        <v>1768.9</v>
      </c>
      <c r="N138" s="223">
        <v>1987.33</v>
      </c>
      <c r="O138" s="222">
        <v>1738.41</v>
      </c>
      <c r="P138" s="222">
        <v>1915.98</v>
      </c>
      <c r="Q138" s="222">
        <v>2021.99</v>
      </c>
      <c r="R138" s="222">
        <v>3285.99</v>
      </c>
      <c r="S138" s="222">
        <v>5663.74</v>
      </c>
    </row>
    <row r="139" spans="1:19" s="28" customFormat="1" x14ac:dyDescent="0.25">
      <c r="A139" s="38"/>
      <c r="B139" s="38" t="str">
        <f t="shared" si="35"/>
        <v>b</v>
      </c>
      <c r="C139" s="60"/>
      <c r="D139" s="61" t="s">
        <v>171</v>
      </c>
      <c r="E139" s="42"/>
      <c r="F139" s="42"/>
      <c r="G139" s="42">
        <f t="shared" si="34"/>
        <v>0</v>
      </c>
      <c r="H139" s="222"/>
      <c r="I139" s="42"/>
      <c r="J139" s="222"/>
      <c r="K139" s="222"/>
      <c r="L139" s="222"/>
      <c r="M139" s="222"/>
      <c r="N139" s="223"/>
      <c r="O139" s="222"/>
      <c r="P139" s="222"/>
      <c r="Q139" s="222"/>
      <c r="R139" s="222"/>
      <c r="S139" s="222"/>
    </row>
    <row r="140" spans="1:19" s="28" customFormat="1" ht="36" x14ac:dyDescent="0.25">
      <c r="A140" s="30"/>
      <c r="B140" s="30" t="str">
        <f t="shared" si="35"/>
        <v>a</v>
      </c>
      <c r="C140" s="60"/>
      <c r="D140" s="61" t="s">
        <v>172</v>
      </c>
      <c r="E140" s="42"/>
      <c r="F140" s="42">
        <v>2132</v>
      </c>
      <c r="G140" s="42">
        <f t="shared" si="34"/>
        <v>9202.18</v>
      </c>
      <c r="H140" s="222">
        <v>48</v>
      </c>
      <c r="I140" s="42"/>
      <c r="J140" s="222"/>
      <c r="K140" s="222">
        <v>3600</v>
      </c>
      <c r="L140" s="222">
        <v>250</v>
      </c>
      <c r="M140" s="222">
        <v>100</v>
      </c>
      <c r="N140" s="223">
        <v>450</v>
      </c>
      <c r="O140" s="222"/>
      <c r="P140" s="222">
        <v>3720.46</v>
      </c>
      <c r="Q140" s="222">
        <v>683.72</v>
      </c>
      <c r="R140" s="222"/>
      <c r="S140" s="222">
        <v>350</v>
      </c>
    </row>
    <row r="141" spans="1:19" s="28" customFormat="1" x14ac:dyDescent="0.25">
      <c r="A141" s="38"/>
      <c r="B141" s="38" t="str">
        <f t="shared" si="35"/>
        <v>b</v>
      </c>
      <c r="C141" s="57"/>
      <c r="D141" s="58" t="s">
        <v>173</v>
      </c>
      <c r="E141" s="62"/>
      <c r="F141" s="62"/>
      <c r="G141" s="42">
        <f t="shared" si="34"/>
        <v>2131.21</v>
      </c>
      <c r="H141" s="62">
        <v>0</v>
      </c>
      <c r="I141" s="62">
        <v>0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2131.21</v>
      </c>
      <c r="S141" s="62"/>
    </row>
    <row r="142" spans="1:19" s="28" customFormat="1" x14ac:dyDescent="0.25">
      <c r="A142" s="30" t="s">
        <v>54</v>
      </c>
      <c r="B142" s="30" t="str">
        <f t="shared" si="35"/>
        <v>a</v>
      </c>
      <c r="C142" s="73"/>
      <c r="D142" s="74" t="s">
        <v>41</v>
      </c>
      <c r="E142" s="221">
        <v>300000</v>
      </c>
      <c r="F142" s="221">
        <v>967688</v>
      </c>
      <c r="G142" s="53">
        <f>G143+G190+G197+G198</f>
        <v>892131.1</v>
      </c>
      <c r="H142" s="53">
        <f t="shared" ref="H142:S142" si="36">H143+H190+H197+H198</f>
        <v>3057</v>
      </c>
      <c r="I142" s="53">
        <f t="shared" si="36"/>
        <v>50</v>
      </c>
      <c r="J142" s="53">
        <f t="shared" si="36"/>
        <v>20110.810000000001</v>
      </c>
      <c r="K142" s="53">
        <f t="shared" si="36"/>
        <v>61.94</v>
      </c>
      <c r="L142" s="53">
        <f t="shared" si="36"/>
        <v>6115</v>
      </c>
      <c r="M142" s="53">
        <f t="shared" si="36"/>
        <v>663.37</v>
      </c>
      <c r="N142" s="53">
        <f t="shared" si="36"/>
        <v>6027</v>
      </c>
      <c r="O142" s="53">
        <f t="shared" si="36"/>
        <v>0</v>
      </c>
      <c r="P142" s="53">
        <f t="shared" si="36"/>
        <v>0</v>
      </c>
      <c r="Q142" s="53">
        <f t="shared" si="36"/>
        <v>77261.47</v>
      </c>
      <c r="R142" s="53">
        <f t="shared" si="36"/>
        <v>34866.239999999998</v>
      </c>
      <c r="S142" s="53">
        <f t="shared" si="36"/>
        <v>743918.27</v>
      </c>
    </row>
    <row r="143" spans="1:19" s="28" customFormat="1" x14ac:dyDescent="0.25">
      <c r="A143" s="30"/>
      <c r="B143" s="30" t="str">
        <f t="shared" si="35"/>
        <v>a</v>
      </c>
      <c r="C143" s="75"/>
      <c r="D143" s="76" t="s">
        <v>174</v>
      </c>
      <c r="E143" s="56">
        <f>E144+E156+E185</f>
        <v>0</v>
      </c>
      <c r="F143" s="56">
        <f t="shared" ref="F143:S143" si="37">F144+F156+F185</f>
        <v>0</v>
      </c>
      <c r="G143" s="56">
        <f>G144+G156+G185</f>
        <v>892081.1</v>
      </c>
      <c r="H143" s="56">
        <f t="shared" si="37"/>
        <v>3057</v>
      </c>
      <c r="I143" s="56">
        <f t="shared" si="37"/>
        <v>0</v>
      </c>
      <c r="J143" s="56">
        <f t="shared" si="37"/>
        <v>20110.810000000001</v>
      </c>
      <c r="K143" s="56">
        <f t="shared" si="37"/>
        <v>61.94</v>
      </c>
      <c r="L143" s="56">
        <f t="shared" si="37"/>
        <v>6115</v>
      </c>
      <c r="M143" s="56">
        <f t="shared" si="37"/>
        <v>663.37</v>
      </c>
      <c r="N143" s="56">
        <f t="shared" si="37"/>
        <v>6027</v>
      </c>
      <c r="O143" s="56">
        <f t="shared" si="37"/>
        <v>0</v>
      </c>
      <c r="P143" s="56">
        <f t="shared" si="37"/>
        <v>0</v>
      </c>
      <c r="Q143" s="56">
        <f t="shared" si="37"/>
        <v>77261.47</v>
      </c>
      <c r="R143" s="56">
        <f t="shared" si="37"/>
        <v>34866.239999999998</v>
      </c>
      <c r="S143" s="56">
        <f t="shared" si="37"/>
        <v>743918.27</v>
      </c>
    </row>
    <row r="144" spans="1:19" s="28" customFormat="1" x14ac:dyDescent="0.25">
      <c r="A144" s="38"/>
      <c r="B144" s="38" t="str">
        <f t="shared" si="35"/>
        <v>a</v>
      </c>
      <c r="C144" s="54"/>
      <c r="D144" s="55" t="s">
        <v>175</v>
      </c>
      <c r="E144" s="59">
        <f>SUM(E145:E155)</f>
        <v>0</v>
      </c>
      <c r="F144" s="59">
        <f t="shared" ref="F144:S144" si="38">SUM(F145:F155)</f>
        <v>0</v>
      </c>
      <c r="G144" s="59">
        <f>SUM(G145:G155)</f>
        <v>281609.69999999995</v>
      </c>
      <c r="H144" s="59">
        <f t="shared" si="38"/>
        <v>3057</v>
      </c>
      <c r="I144" s="59">
        <f t="shared" si="38"/>
        <v>0</v>
      </c>
      <c r="J144" s="59">
        <f t="shared" si="38"/>
        <v>20110.810000000001</v>
      </c>
      <c r="K144" s="59">
        <f t="shared" si="38"/>
        <v>61.94</v>
      </c>
      <c r="L144" s="59">
        <f t="shared" si="38"/>
        <v>2600</v>
      </c>
      <c r="M144" s="59">
        <f t="shared" si="38"/>
        <v>663.37</v>
      </c>
      <c r="N144" s="59">
        <f t="shared" si="38"/>
        <v>350</v>
      </c>
      <c r="O144" s="59">
        <f t="shared" si="38"/>
        <v>0</v>
      </c>
      <c r="P144" s="59">
        <f t="shared" si="38"/>
        <v>0</v>
      </c>
      <c r="Q144" s="59">
        <f t="shared" si="38"/>
        <v>48552.07</v>
      </c>
      <c r="R144" s="59">
        <f t="shared" si="38"/>
        <v>34866.239999999998</v>
      </c>
      <c r="S144" s="59">
        <f t="shared" si="38"/>
        <v>171348.27</v>
      </c>
    </row>
    <row r="145" spans="1:19" s="28" customFormat="1" x14ac:dyDescent="0.25">
      <c r="A145" s="38"/>
      <c r="B145" s="38" t="str">
        <f t="shared" si="35"/>
        <v>b</v>
      </c>
      <c r="C145" s="57"/>
      <c r="D145" s="58" t="s">
        <v>176</v>
      </c>
      <c r="E145" s="62"/>
      <c r="F145" s="62"/>
      <c r="G145" s="42">
        <f t="shared" ref="G145:G155" si="39">SUM(H145:S145)</f>
        <v>0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</row>
    <row r="146" spans="1:19" s="28" customFormat="1" x14ac:dyDescent="0.25">
      <c r="A146" s="38"/>
      <c r="B146" s="38" t="str">
        <f t="shared" si="35"/>
        <v>a</v>
      </c>
      <c r="C146" s="57"/>
      <c r="D146" s="58" t="s">
        <v>177</v>
      </c>
      <c r="E146" s="62"/>
      <c r="F146" s="62"/>
      <c r="G146" s="42">
        <f t="shared" si="39"/>
        <v>281609.69999999995</v>
      </c>
      <c r="H146" s="219">
        <v>3057</v>
      </c>
      <c r="I146" s="62"/>
      <c r="J146" s="219">
        <v>20110.810000000001</v>
      </c>
      <c r="K146" s="219">
        <v>61.94</v>
      </c>
      <c r="L146" s="219">
        <v>2600</v>
      </c>
      <c r="M146" s="219">
        <v>663.37</v>
      </c>
      <c r="N146" s="220">
        <v>350</v>
      </c>
      <c r="O146" s="219"/>
      <c r="P146" s="219"/>
      <c r="Q146" s="219">
        <v>48552.07</v>
      </c>
      <c r="R146" s="219">
        <v>34866.239999999998</v>
      </c>
      <c r="S146" s="219">
        <v>171348.27</v>
      </c>
    </row>
    <row r="147" spans="1:19" s="28" customFormat="1" x14ac:dyDescent="0.25">
      <c r="A147" s="38"/>
      <c r="B147" s="38" t="str">
        <f t="shared" si="35"/>
        <v>b</v>
      </c>
      <c r="C147" s="57"/>
      <c r="D147" s="58" t="s">
        <v>178</v>
      </c>
      <c r="E147" s="62"/>
      <c r="F147" s="62"/>
      <c r="G147" s="42">
        <f t="shared" si="39"/>
        <v>0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</row>
    <row r="148" spans="1:19" s="28" customFormat="1" x14ac:dyDescent="0.25">
      <c r="A148" s="38"/>
      <c r="B148" s="38" t="str">
        <f t="shared" si="35"/>
        <v>b</v>
      </c>
      <c r="C148" s="57"/>
      <c r="D148" s="58" t="s">
        <v>179</v>
      </c>
      <c r="E148" s="62"/>
      <c r="F148" s="62"/>
      <c r="G148" s="42">
        <f t="shared" si="39"/>
        <v>0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</row>
    <row r="149" spans="1:19" s="28" customFormat="1" x14ac:dyDescent="0.25">
      <c r="A149" s="38"/>
      <c r="B149" s="38" t="str">
        <f t="shared" si="35"/>
        <v>b</v>
      </c>
      <c r="C149" s="57"/>
      <c r="D149" s="58" t="s">
        <v>180</v>
      </c>
      <c r="E149" s="62"/>
      <c r="F149" s="62"/>
      <c r="G149" s="42">
        <f t="shared" si="39"/>
        <v>0</v>
      </c>
      <c r="H149" s="62"/>
      <c r="I149" s="62"/>
      <c r="J149" s="62"/>
      <c r="K149" s="62"/>
      <c r="L149" s="62"/>
      <c r="M149" s="62"/>
      <c r="N149" s="62"/>
      <c r="P149" s="62"/>
      <c r="Q149" s="62"/>
      <c r="R149" s="62"/>
      <c r="S149" s="62"/>
    </row>
    <row r="150" spans="1:19" s="28" customFormat="1" x14ac:dyDescent="0.25">
      <c r="A150" s="38"/>
      <c r="B150" s="38" t="str">
        <f t="shared" si="35"/>
        <v>b</v>
      </c>
      <c r="C150" s="57"/>
      <c r="D150" s="58" t="s">
        <v>181</v>
      </c>
      <c r="E150" s="62"/>
      <c r="F150" s="62"/>
      <c r="G150" s="42">
        <f t="shared" si="39"/>
        <v>0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</row>
    <row r="151" spans="1:19" s="28" customFormat="1" x14ac:dyDescent="0.25">
      <c r="A151" s="38"/>
      <c r="B151" s="38" t="str">
        <f t="shared" si="35"/>
        <v>b</v>
      </c>
      <c r="C151" s="57"/>
      <c r="D151" s="58" t="s">
        <v>182</v>
      </c>
      <c r="E151" s="62"/>
      <c r="F151" s="62"/>
      <c r="G151" s="42">
        <f t="shared" si="39"/>
        <v>0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</row>
    <row r="152" spans="1:19" s="28" customFormat="1" ht="21.75" customHeight="1" x14ac:dyDescent="0.25">
      <c r="A152" s="38"/>
      <c r="B152" s="38" t="str">
        <f t="shared" si="35"/>
        <v>b</v>
      </c>
      <c r="C152" s="57"/>
      <c r="D152" s="58" t="s">
        <v>183</v>
      </c>
      <c r="E152" s="62"/>
      <c r="F152" s="62"/>
      <c r="G152" s="42">
        <f t="shared" si="39"/>
        <v>0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</row>
    <row r="153" spans="1:19" s="28" customFormat="1" x14ac:dyDescent="0.25">
      <c r="A153" s="38"/>
      <c r="B153" s="38" t="str">
        <f t="shared" si="35"/>
        <v>b</v>
      </c>
      <c r="C153" s="57"/>
      <c r="D153" s="58" t="s">
        <v>184</v>
      </c>
      <c r="E153" s="62"/>
      <c r="F153" s="62"/>
      <c r="G153" s="42">
        <f t="shared" si="39"/>
        <v>0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</row>
    <row r="154" spans="1:19" s="28" customFormat="1" x14ac:dyDescent="0.25">
      <c r="A154" s="38"/>
      <c r="B154" s="38" t="str">
        <f t="shared" si="35"/>
        <v>b</v>
      </c>
      <c r="C154" s="57"/>
      <c r="D154" s="58" t="s">
        <v>185</v>
      </c>
      <c r="E154" s="62"/>
      <c r="F154" s="62"/>
      <c r="G154" s="42">
        <f t="shared" si="39"/>
        <v>0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</row>
    <row r="155" spans="1:19" s="28" customFormat="1" x14ac:dyDescent="0.25">
      <c r="A155" s="38"/>
      <c r="B155" s="38" t="str">
        <f t="shared" si="35"/>
        <v>b</v>
      </c>
      <c r="C155" s="57"/>
      <c r="D155" s="58" t="s">
        <v>186</v>
      </c>
      <c r="E155" s="62"/>
      <c r="F155" s="62"/>
      <c r="G155" s="42">
        <f t="shared" si="39"/>
        <v>0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</row>
    <row r="156" spans="1:19" s="28" customFormat="1" x14ac:dyDescent="0.25">
      <c r="A156" s="30"/>
      <c r="B156" s="30" t="str">
        <f t="shared" si="35"/>
        <v>a</v>
      </c>
      <c r="C156" s="54"/>
      <c r="D156" s="55" t="s">
        <v>187</v>
      </c>
      <c r="E156" s="59">
        <f>E157+E164</f>
        <v>0</v>
      </c>
      <c r="F156" s="59">
        <f t="shared" ref="F156:S156" si="40">F157+F164</f>
        <v>0</v>
      </c>
      <c r="G156" s="59">
        <f>G157+G164</f>
        <v>610471.4</v>
      </c>
      <c r="H156" s="59">
        <f t="shared" si="40"/>
        <v>0</v>
      </c>
      <c r="I156" s="59">
        <f t="shared" si="40"/>
        <v>0</v>
      </c>
      <c r="J156" s="59">
        <f t="shared" si="40"/>
        <v>0</v>
      </c>
      <c r="K156" s="59">
        <f t="shared" si="40"/>
        <v>0</v>
      </c>
      <c r="L156" s="59">
        <f t="shared" si="40"/>
        <v>3515</v>
      </c>
      <c r="M156" s="59">
        <f t="shared" si="40"/>
        <v>0</v>
      </c>
      <c r="N156" s="59">
        <f t="shared" si="40"/>
        <v>5677</v>
      </c>
      <c r="O156" s="59">
        <f t="shared" si="40"/>
        <v>0</v>
      </c>
      <c r="P156" s="59">
        <f t="shared" si="40"/>
        <v>0</v>
      </c>
      <c r="Q156" s="59">
        <f t="shared" si="40"/>
        <v>28709.4</v>
      </c>
      <c r="R156" s="59">
        <f t="shared" si="40"/>
        <v>0</v>
      </c>
      <c r="S156" s="59">
        <f t="shared" si="40"/>
        <v>572570</v>
      </c>
    </row>
    <row r="157" spans="1:19" s="28" customFormat="1" x14ac:dyDescent="0.25">
      <c r="A157" s="38"/>
      <c r="B157" s="38" t="str">
        <f t="shared" si="35"/>
        <v>b</v>
      </c>
      <c r="C157" s="57"/>
      <c r="D157" s="58" t="s">
        <v>188</v>
      </c>
      <c r="E157" s="64">
        <f>SUM(E158:E163)</f>
        <v>0</v>
      </c>
      <c r="F157" s="64">
        <f t="shared" ref="F157:S157" si="41">SUM(F158:F163)</f>
        <v>0</v>
      </c>
      <c r="G157" s="64">
        <f>SUM(G158:G163)</f>
        <v>0</v>
      </c>
      <c r="H157" s="64">
        <f t="shared" si="41"/>
        <v>0</v>
      </c>
      <c r="I157" s="64">
        <f t="shared" si="41"/>
        <v>0</v>
      </c>
      <c r="J157" s="64">
        <f t="shared" si="41"/>
        <v>0</v>
      </c>
      <c r="K157" s="64">
        <f t="shared" si="41"/>
        <v>0</v>
      </c>
      <c r="L157" s="64">
        <f t="shared" si="41"/>
        <v>0</v>
      </c>
      <c r="M157" s="64">
        <f t="shared" si="41"/>
        <v>0</v>
      </c>
      <c r="N157" s="64">
        <f t="shared" si="41"/>
        <v>0</v>
      </c>
      <c r="O157" s="64">
        <f t="shared" si="41"/>
        <v>0</v>
      </c>
      <c r="P157" s="64">
        <f t="shared" si="41"/>
        <v>0</v>
      </c>
      <c r="Q157" s="64">
        <f t="shared" si="41"/>
        <v>0</v>
      </c>
      <c r="R157" s="64">
        <f t="shared" si="41"/>
        <v>0</v>
      </c>
      <c r="S157" s="64">
        <f t="shared" si="41"/>
        <v>0</v>
      </c>
    </row>
    <row r="158" spans="1:19" s="28" customFormat="1" x14ac:dyDescent="0.25">
      <c r="A158" s="38"/>
      <c r="B158" s="38" t="str">
        <f t="shared" si="35"/>
        <v>b</v>
      </c>
      <c r="C158" s="60"/>
      <c r="D158" s="61" t="s">
        <v>189</v>
      </c>
      <c r="E158" s="42"/>
      <c r="F158" s="42"/>
      <c r="G158" s="42">
        <f t="shared" ref="G158:G163" si="42">SUM(H158:S158)</f>
        <v>0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</row>
    <row r="159" spans="1:19" s="28" customFormat="1" x14ac:dyDescent="0.25">
      <c r="A159" s="38"/>
      <c r="B159" s="38" t="str">
        <f t="shared" si="35"/>
        <v>b</v>
      </c>
      <c r="C159" s="60"/>
      <c r="D159" s="61" t="s">
        <v>190</v>
      </c>
      <c r="E159" s="42"/>
      <c r="F159" s="42"/>
      <c r="G159" s="42">
        <f t="shared" si="42"/>
        <v>0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</row>
    <row r="160" spans="1:19" s="28" customFormat="1" x14ac:dyDescent="0.25">
      <c r="A160" s="38"/>
      <c r="B160" s="38" t="str">
        <f t="shared" si="35"/>
        <v>b</v>
      </c>
      <c r="C160" s="60"/>
      <c r="D160" s="61" t="s">
        <v>191</v>
      </c>
      <c r="E160" s="42"/>
      <c r="F160" s="42"/>
      <c r="G160" s="42">
        <f t="shared" si="42"/>
        <v>0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</row>
    <row r="161" spans="1:19" s="28" customFormat="1" ht="36" x14ac:dyDescent="0.25">
      <c r="A161" s="38"/>
      <c r="B161" s="38" t="str">
        <f t="shared" si="35"/>
        <v>b</v>
      </c>
      <c r="C161" s="60"/>
      <c r="D161" s="61" t="s">
        <v>192</v>
      </c>
      <c r="E161" s="42"/>
      <c r="F161" s="42"/>
      <c r="G161" s="42">
        <f t="shared" si="42"/>
        <v>0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</row>
    <row r="162" spans="1:19" s="28" customFormat="1" ht="36" x14ac:dyDescent="0.25">
      <c r="A162" s="38"/>
      <c r="B162" s="38" t="str">
        <f t="shared" si="35"/>
        <v>b</v>
      </c>
      <c r="C162" s="60"/>
      <c r="D162" s="61" t="s">
        <v>193</v>
      </c>
      <c r="E162" s="42"/>
      <c r="F162" s="42"/>
      <c r="G162" s="42">
        <f t="shared" si="42"/>
        <v>0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19" s="28" customFormat="1" x14ac:dyDescent="0.25">
      <c r="A163" s="38"/>
      <c r="B163" s="38" t="str">
        <f t="shared" si="35"/>
        <v>b</v>
      </c>
      <c r="C163" s="77"/>
      <c r="D163" s="78" t="s">
        <v>194</v>
      </c>
      <c r="E163" s="42"/>
      <c r="F163" s="42"/>
      <c r="G163" s="42">
        <f t="shared" si="42"/>
        <v>0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</row>
    <row r="164" spans="1:19" s="28" customFormat="1" x14ac:dyDescent="0.25">
      <c r="A164" s="30"/>
      <c r="B164" s="30" t="str">
        <f t="shared" si="35"/>
        <v>a</v>
      </c>
      <c r="C164" s="57"/>
      <c r="D164" s="58" t="s">
        <v>195</v>
      </c>
      <c r="E164" s="79">
        <f>SUM(E165:E184)</f>
        <v>0</v>
      </c>
      <c r="F164" s="79">
        <f t="shared" ref="F164:S164" si="43">SUM(F165:F184)</f>
        <v>0</v>
      </c>
      <c r="G164" s="79">
        <f>SUM(G165:G184)</f>
        <v>610471.4</v>
      </c>
      <c r="H164" s="79">
        <f t="shared" si="43"/>
        <v>0</v>
      </c>
      <c r="I164" s="79">
        <f t="shared" si="43"/>
        <v>0</v>
      </c>
      <c r="J164" s="79">
        <f t="shared" si="43"/>
        <v>0</v>
      </c>
      <c r="K164" s="79">
        <f t="shared" si="43"/>
        <v>0</v>
      </c>
      <c r="L164" s="79">
        <f t="shared" si="43"/>
        <v>3515</v>
      </c>
      <c r="M164" s="79">
        <f t="shared" si="43"/>
        <v>0</v>
      </c>
      <c r="N164" s="79">
        <f t="shared" si="43"/>
        <v>5677</v>
      </c>
      <c r="O164" s="79">
        <f t="shared" si="43"/>
        <v>0</v>
      </c>
      <c r="P164" s="79">
        <f t="shared" si="43"/>
        <v>0</v>
      </c>
      <c r="Q164" s="79">
        <f t="shared" si="43"/>
        <v>28709.4</v>
      </c>
      <c r="R164" s="79">
        <f t="shared" si="43"/>
        <v>0</v>
      </c>
      <c r="S164" s="79">
        <f t="shared" si="43"/>
        <v>572570</v>
      </c>
    </row>
    <row r="165" spans="1:19" s="28" customFormat="1" x14ac:dyDescent="0.25">
      <c r="A165" s="38"/>
      <c r="B165" s="38" t="str">
        <f t="shared" si="35"/>
        <v>b</v>
      </c>
      <c r="C165" s="80"/>
      <c r="D165" s="81" t="s">
        <v>77</v>
      </c>
      <c r="E165" s="82"/>
      <c r="F165" s="82"/>
      <c r="G165" s="42">
        <f t="shared" ref="G165:G184" si="44">SUM(H165:S165)</f>
        <v>0</v>
      </c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</row>
    <row r="166" spans="1:19" s="28" customFormat="1" x14ac:dyDescent="0.25">
      <c r="A166" s="30"/>
      <c r="B166" s="30" t="str">
        <f t="shared" si="35"/>
        <v>b</v>
      </c>
      <c r="C166" s="80"/>
      <c r="D166" s="81" t="s">
        <v>78</v>
      </c>
      <c r="E166" s="82"/>
      <c r="F166" s="82"/>
      <c r="G166" s="42">
        <f t="shared" si="44"/>
        <v>0</v>
      </c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</row>
    <row r="167" spans="1:19" s="28" customFormat="1" x14ac:dyDescent="0.25">
      <c r="A167" s="30"/>
      <c r="B167" s="30" t="str">
        <f t="shared" si="35"/>
        <v>b</v>
      </c>
      <c r="C167" s="80"/>
      <c r="D167" s="81" t="s">
        <v>196</v>
      </c>
      <c r="E167" s="82"/>
      <c r="F167" s="82"/>
      <c r="G167" s="42">
        <f t="shared" si="44"/>
        <v>599429.4</v>
      </c>
      <c r="H167" s="82"/>
      <c r="I167" s="82"/>
      <c r="J167" s="82"/>
      <c r="K167" s="82"/>
      <c r="L167" s="82"/>
      <c r="M167" s="82"/>
      <c r="N167" s="82"/>
      <c r="O167" s="82"/>
      <c r="P167" s="82"/>
      <c r="Q167" s="82">
        <v>28709.4</v>
      </c>
      <c r="R167" s="82"/>
      <c r="S167" s="82">
        <v>570720</v>
      </c>
    </row>
    <row r="168" spans="1:19" s="28" customFormat="1" x14ac:dyDescent="0.25">
      <c r="A168" s="30"/>
      <c r="B168" s="30" t="str">
        <f t="shared" si="35"/>
        <v>b</v>
      </c>
      <c r="C168" s="80"/>
      <c r="D168" s="81" t="s">
        <v>83</v>
      </c>
      <c r="E168" s="82"/>
      <c r="F168" s="82"/>
      <c r="G168" s="42">
        <f t="shared" si="44"/>
        <v>0</v>
      </c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</row>
    <row r="169" spans="1:19" s="28" customFormat="1" x14ac:dyDescent="0.25">
      <c r="A169" s="38"/>
      <c r="B169" s="38" t="str">
        <f t="shared" si="35"/>
        <v>b</v>
      </c>
      <c r="C169" s="80"/>
      <c r="D169" s="81" t="s">
        <v>197</v>
      </c>
      <c r="E169" s="82"/>
      <c r="F169" s="82"/>
      <c r="G169" s="42">
        <f t="shared" si="44"/>
        <v>0</v>
      </c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</row>
    <row r="170" spans="1:19" s="28" customFormat="1" x14ac:dyDescent="0.25">
      <c r="A170" s="38"/>
      <c r="B170" s="38" t="str">
        <f t="shared" si="35"/>
        <v>b</v>
      </c>
      <c r="C170" s="80"/>
      <c r="D170" s="81" t="s">
        <v>198</v>
      </c>
      <c r="E170" s="82"/>
      <c r="F170" s="82"/>
      <c r="G170" s="42">
        <f t="shared" si="44"/>
        <v>0</v>
      </c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</row>
    <row r="171" spans="1:19" s="28" customFormat="1" x14ac:dyDescent="0.25">
      <c r="A171" s="38"/>
      <c r="B171" s="38" t="str">
        <f t="shared" si="35"/>
        <v>b</v>
      </c>
      <c r="C171" s="80"/>
      <c r="D171" s="81" t="s">
        <v>199</v>
      </c>
      <c r="E171" s="82"/>
      <c r="F171" s="82"/>
      <c r="G171" s="42">
        <f t="shared" si="44"/>
        <v>0</v>
      </c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</row>
    <row r="172" spans="1:19" s="28" customFormat="1" x14ac:dyDescent="0.25">
      <c r="A172" s="38"/>
      <c r="B172" s="38" t="str">
        <f t="shared" si="35"/>
        <v>b</v>
      </c>
      <c r="C172" s="80"/>
      <c r="D172" s="81" t="s">
        <v>200</v>
      </c>
      <c r="E172" s="82"/>
      <c r="F172" s="82"/>
      <c r="G172" s="42">
        <f t="shared" si="44"/>
        <v>0</v>
      </c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</row>
    <row r="173" spans="1:19" s="28" customFormat="1" x14ac:dyDescent="0.25">
      <c r="A173" s="38"/>
      <c r="B173" s="38" t="str">
        <f t="shared" si="35"/>
        <v>a</v>
      </c>
      <c r="C173" s="80"/>
      <c r="D173" s="81" t="s">
        <v>201</v>
      </c>
      <c r="E173" s="82"/>
      <c r="F173" s="82"/>
      <c r="G173" s="42">
        <f t="shared" si="44"/>
        <v>9192</v>
      </c>
      <c r="H173" s="82"/>
      <c r="I173" s="82"/>
      <c r="J173" s="82"/>
      <c r="K173" s="82"/>
      <c r="L173" s="82">
        <v>3515</v>
      </c>
      <c r="M173" s="82"/>
      <c r="N173" s="82">
        <v>5677</v>
      </c>
      <c r="O173" s="82"/>
      <c r="P173" s="82"/>
      <c r="Q173" s="82"/>
      <c r="R173" s="82"/>
      <c r="S173" s="82"/>
    </row>
    <row r="174" spans="1:19" s="28" customFormat="1" x14ac:dyDescent="0.25">
      <c r="A174" s="38"/>
      <c r="B174" s="38" t="str">
        <f t="shared" si="35"/>
        <v>b</v>
      </c>
      <c r="C174" s="80"/>
      <c r="D174" s="81" t="s">
        <v>84</v>
      </c>
      <c r="E174" s="82"/>
      <c r="F174" s="82"/>
      <c r="G174" s="42">
        <f t="shared" si="44"/>
        <v>0</v>
      </c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</row>
    <row r="175" spans="1:19" s="28" customFormat="1" x14ac:dyDescent="0.25">
      <c r="A175" s="38"/>
      <c r="B175" s="38" t="str">
        <f t="shared" si="35"/>
        <v>b</v>
      </c>
      <c r="C175" s="80"/>
      <c r="D175" s="81" t="s">
        <v>202</v>
      </c>
      <c r="E175" s="82"/>
      <c r="F175" s="82"/>
      <c r="G175" s="42">
        <f t="shared" si="44"/>
        <v>0</v>
      </c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</row>
    <row r="176" spans="1:19" s="28" customFormat="1" x14ac:dyDescent="0.25">
      <c r="A176" s="38"/>
      <c r="B176" s="38" t="str">
        <f t="shared" si="35"/>
        <v>b</v>
      </c>
      <c r="C176" s="80"/>
      <c r="D176" s="81" t="s">
        <v>203</v>
      </c>
      <c r="E176" s="82"/>
      <c r="F176" s="82"/>
      <c r="G176" s="42">
        <f t="shared" si="44"/>
        <v>0</v>
      </c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</row>
    <row r="177" spans="1:19" s="28" customFormat="1" x14ac:dyDescent="0.25">
      <c r="A177" s="38"/>
      <c r="B177" s="38" t="str">
        <f t="shared" si="35"/>
        <v>b</v>
      </c>
      <c r="C177" s="80"/>
      <c r="D177" s="81" t="s">
        <v>204</v>
      </c>
      <c r="E177" s="82"/>
      <c r="F177" s="82"/>
      <c r="G177" s="42">
        <f t="shared" si="44"/>
        <v>0</v>
      </c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</row>
    <row r="178" spans="1:19" s="28" customFormat="1" x14ac:dyDescent="0.25">
      <c r="A178" s="30"/>
      <c r="B178" s="30" t="str">
        <f t="shared" si="35"/>
        <v>b</v>
      </c>
      <c r="C178" s="80"/>
      <c r="D178" s="81" t="s">
        <v>205</v>
      </c>
      <c r="E178" s="82"/>
      <c r="F178" s="82"/>
      <c r="G178" s="42">
        <f t="shared" si="44"/>
        <v>0</v>
      </c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</row>
    <row r="179" spans="1:19" s="28" customFormat="1" x14ac:dyDescent="0.25">
      <c r="A179" s="38"/>
      <c r="B179" s="38" t="str">
        <f t="shared" si="35"/>
        <v>b</v>
      </c>
      <c r="C179" s="80"/>
      <c r="D179" s="81" t="s">
        <v>90</v>
      </c>
      <c r="E179" s="82"/>
      <c r="F179" s="82"/>
      <c r="G179" s="42">
        <f t="shared" si="44"/>
        <v>0</v>
      </c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</row>
    <row r="180" spans="1:19" s="28" customFormat="1" x14ac:dyDescent="0.25">
      <c r="A180" s="38"/>
      <c r="B180" s="38" t="str">
        <f t="shared" si="35"/>
        <v>b</v>
      </c>
      <c r="C180" s="80"/>
      <c r="D180" s="81" t="s">
        <v>206</v>
      </c>
      <c r="E180" s="82"/>
      <c r="F180" s="82"/>
      <c r="G180" s="42">
        <f t="shared" si="44"/>
        <v>0</v>
      </c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</row>
    <row r="181" spans="1:19" s="28" customFormat="1" x14ac:dyDescent="0.25">
      <c r="A181" s="38"/>
      <c r="B181" s="38" t="str">
        <f t="shared" si="35"/>
        <v>b</v>
      </c>
      <c r="C181" s="80"/>
      <c r="D181" s="81" t="s">
        <v>207</v>
      </c>
      <c r="E181" s="82"/>
      <c r="F181" s="82"/>
      <c r="G181" s="42">
        <f t="shared" si="44"/>
        <v>0</v>
      </c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</row>
    <row r="182" spans="1:19" s="28" customFormat="1" ht="54" x14ac:dyDescent="0.25">
      <c r="A182" s="38"/>
      <c r="B182" s="38" t="str">
        <f t="shared" si="35"/>
        <v>b</v>
      </c>
      <c r="C182" s="80"/>
      <c r="D182" s="81" t="s">
        <v>208</v>
      </c>
      <c r="E182" s="82"/>
      <c r="F182" s="82"/>
      <c r="G182" s="42">
        <f t="shared" si="44"/>
        <v>0</v>
      </c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</row>
    <row r="183" spans="1:19" s="28" customFormat="1" x14ac:dyDescent="0.25">
      <c r="A183" s="38"/>
      <c r="B183" s="38" t="str">
        <f t="shared" si="35"/>
        <v>b</v>
      </c>
      <c r="C183" s="80"/>
      <c r="D183" s="81" t="s">
        <v>209</v>
      </c>
      <c r="E183" s="82"/>
      <c r="F183" s="82"/>
      <c r="G183" s="42">
        <f t="shared" si="44"/>
        <v>0</v>
      </c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</row>
    <row r="184" spans="1:19" s="28" customFormat="1" ht="36" x14ac:dyDescent="0.25">
      <c r="A184" s="38"/>
      <c r="B184" s="38" t="str">
        <f t="shared" si="35"/>
        <v>b</v>
      </c>
      <c r="C184" s="80"/>
      <c r="D184" s="81" t="s">
        <v>210</v>
      </c>
      <c r="E184" s="82"/>
      <c r="F184" s="82"/>
      <c r="G184" s="42">
        <f t="shared" si="44"/>
        <v>1850</v>
      </c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>
        <v>1850</v>
      </c>
    </row>
    <row r="185" spans="1:19" s="28" customFormat="1" x14ac:dyDescent="0.25">
      <c r="A185" s="38"/>
      <c r="B185" s="38" t="str">
        <f t="shared" si="35"/>
        <v>b</v>
      </c>
      <c r="C185" s="54"/>
      <c r="D185" s="55" t="s">
        <v>211</v>
      </c>
      <c r="E185" s="79">
        <f>E186+E187</f>
        <v>0</v>
      </c>
      <c r="F185" s="79">
        <f t="shared" ref="F185:S185" si="45">F186+F187</f>
        <v>0</v>
      </c>
      <c r="G185" s="79">
        <f>G186+G187</f>
        <v>0</v>
      </c>
      <c r="H185" s="79">
        <f t="shared" si="45"/>
        <v>0</v>
      </c>
      <c r="I185" s="79">
        <f t="shared" si="45"/>
        <v>0</v>
      </c>
      <c r="J185" s="79">
        <f t="shared" si="45"/>
        <v>0</v>
      </c>
      <c r="K185" s="79">
        <f t="shared" si="45"/>
        <v>0</v>
      </c>
      <c r="L185" s="79">
        <f t="shared" si="45"/>
        <v>0</v>
      </c>
      <c r="M185" s="79">
        <f t="shared" si="45"/>
        <v>0</v>
      </c>
      <c r="N185" s="79">
        <f t="shared" si="45"/>
        <v>0</v>
      </c>
      <c r="O185" s="79">
        <f t="shared" si="45"/>
        <v>0</v>
      </c>
      <c r="P185" s="79">
        <f t="shared" si="45"/>
        <v>0</v>
      </c>
      <c r="Q185" s="79">
        <f t="shared" si="45"/>
        <v>0</v>
      </c>
      <c r="R185" s="79">
        <f t="shared" si="45"/>
        <v>0</v>
      </c>
      <c r="S185" s="79">
        <f t="shared" si="45"/>
        <v>0</v>
      </c>
    </row>
    <row r="186" spans="1:19" s="28" customFormat="1" x14ac:dyDescent="0.25">
      <c r="A186" s="38"/>
      <c r="B186" s="38" t="str">
        <f t="shared" si="35"/>
        <v>b</v>
      </c>
      <c r="C186" s="57"/>
      <c r="D186" s="58" t="s">
        <v>212</v>
      </c>
      <c r="E186" s="79"/>
      <c r="F186" s="79"/>
      <c r="G186" s="42">
        <f>SUM(H186:S186)</f>
        <v>0</v>
      </c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</row>
    <row r="187" spans="1:19" s="28" customFormat="1" x14ac:dyDescent="0.25">
      <c r="A187" s="38"/>
      <c r="B187" s="38" t="str">
        <f t="shared" si="35"/>
        <v>b</v>
      </c>
      <c r="C187" s="57"/>
      <c r="D187" s="58" t="s">
        <v>213</v>
      </c>
      <c r="E187" s="79">
        <f>SUM(E188:E189)</f>
        <v>0</v>
      </c>
      <c r="F187" s="79">
        <f t="shared" ref="F187:S187" si="46">SUM(F188:F189)</f>
        <v>0</v>
      </c>
      <c r="G187" s="79">
        <f>SUM(G188:G189)</f>
        <v>0</v>
      </c>
      <c r="H187" s="79">
        <f t="shared" si="46"/>
        <v>0</v>
      </c>
      <c r="I187" s="79">
        <f t="shared" si="46"/>
        <v>0</v>
      </c>
      <c r="J187" s="79">
        <f t="shared" si="46"/>
        <v>0</v>
      </c>
      <c r="K187" s="79">
        <f t="shared" ref="K187:L187" si="47">SUM(K188:K189)</f>
        <v>0</v>
      </c>
      <c r="L187" s="79">
        <f t="shared" si="47"/>
        <v>0</v>
      </c>
      <c r="M187" s="79">
        <f t="shared" si="46"/>
        <v>0</v>
      </c>
      <c r="N187" s="79">
        <f t="shared" si="46"/>
        <v>0</v>
      </c>
      <c r="O187" s="79">
        <f t="shared" si="46"/>
        <v>0</v>
      </c>
      <c r="P187" s="79">
        <f t="shared" si="46"/>
        <v>0</v>
      </c>
      <c r="Q187" s="79">
        <f t="shared" si="46"/>
        <v>0</v>
      </c>
      <c r="R187" s="79">
        <f t="shared" si="46"/>
        <v>0</v>
      </c>
      <c r="S187" s="79">
        <f t="shared" si="46"/>
        <v>0</v>
      </c>
    </row>
    <row r="188" spans="1:19" s="28" customFormat="1" x14ac:dyDescent="0.25">
      <c r="A188" s="38"/>
      <c r="B188" s="38" t="str">
        <f t="shared" si="35"/>
        <v>b</v>
      </c>
      <c r="C188" s="60"/>
      <c r="D188" s="61" t="s">
        <v>214</v>
      </c>
      <c r="E188" s="79"/>
      <c r="F188" s="79"/>
      <c r="G188" s="42">
        <f>SUM(H188:S188)</f>
        <v>0</v>
      </c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</row>
    <row r="189" spans="1:19" s="28" customFormat="1" x14ac:dyDescent="0.25">
      <c r="A189" s="38"/>
      <c r="B189" s="38" t="str">
        <f t="shared" si="35"/>
        <v>b</v>
      </c>
      <c r="C189" s="60"/>
      <c r="D189" s="61" t="s">
        <v>215</v>
      </c>
      <c r="E189" s="79"/>
      <c r="F189" s="79"/>
      <c r="G189" s="42">
        <f>SUM(H189:S189)</f>
        <v>0</v>
      </c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</row>
    <row r="190" spans="1:19" s="28" customFormat="1" x14ac:dyDescent="0.25">
      <c r="A190" s="38"/>
      <c r="B190" s="38" t="str">
        <f t="shared" si="35"/>
        <v>b</v>
      </c>
      <c r="C190" s="51"/>
      <c r="D190" s="52" t="s">
        <v>216</v>
      </c>
      <c r="E190" s="79">
        <f>E191+E192</f>
        <v>0</v>
      </c>
      <c r="F190" s="79">
        <f t="shared" ref="F190:S190" si="48">F191+F192</f>
        <v>0</v>
      </c>
      <c r="G190" s="79">
        <f>G191+G192</f>
        <v>0</v>
      </c>
      <c r="H190" s="79">
        <f t="shared" si="48"/>
        <v>0</v>
      </c>
      <c r="I190" s="79">
        <f t="shared" si="48"/>
        <v>0</v>
      </c>
      <c r="J190" s="79">
        <f t="shared" si="48"/>
        <v>0</v>
      </c>
      <c r="K190" s="79">
        <f t="shared" si="48"/>
        <v>0</v>
      </c>
      <c r="L190" s="79">
        <f t="shared" si="48"/>
        <v>0</v>
      </c>
      <c r="M190" s="79">
        <f t="shared" si="48"/>
        <v>0</v>
      </c>
      <c r="N190" s="79">
        <f t="shared" si="48"/>
        <v>0</v>
      </c>
      <c r="O190" s="79">
        <f t="shared" si="48"/>
        <v>0</v>
      </c>
      <c r="P190" s="79">
        <f t="shared" si="48"/>
        <v>0</v>
      </c>
      <c r="Q190" s="79">
        <f t="shared" si="48"/>
        <v>0</v>
      </c>
      <c r="R190" s="79">
        <f t="shared" si="48"/>
        <v>0</v>
      </c>
      <c r="S190" s="79">
        <f t="shared" si="48"/>
        <v>0</v>
      </c>
    </row>
    <row r="191" spans="1:19" s="28" customFormat="1" x14ac:dyDescent="0.25">
      <c r="A191" s="38"/>
      <c r="B191" s="38" t="str">
        <f t="shared" si="35"/>
        <v>b</v>
      </c>
      <c r="C191" s="54"/>
      <c r="D191" s="55" t="s">
        <v>217</v>
      </c>
      <c r="E191" s="79"/>
      <c r="F191" s="79"/>
      <c r="G191" s="42">
        <f>SUM(H191:S191)</f>
        <v>0</v>
      </c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</row>
    <row r="192" spans="1:19" s="28" customFormat="1" x14ac:dyDescent="0.25">
      <c r="A192" s="38"/>
      <c r="B192" s="38" t="str">
        <f t="shared" si="35"/>
        <v>b</v>
      </c>
      <c r="C192" s="54"/>
      <c r="D192" s="55" t="s">
        <v>218</v>
      </c>
      <c r="E192" s="79">
        <f>SUM(E193:E196)</f>
        <v>0</v>
      </c>
      <c r="F192" s="79">
        <f t="shared" ref="F192:S192" si="49">SUM(F193:F196)</f>
        <v>0</v>
      </c>
      <c r="G192" s="79">
        <f>SUM(G193:G196)</f>
        <v>0</v>
      </c>
      <c r="H192" s="79">
        <f t="shared" si="49"/>
        <v>0</v>
      </c>
      <c r="I192" s="79">
        <f t="shared" si="49"/>
        <v>0</v>
      </c>
      <c r="J192" s="79">
        <f t="shared" si="49"/>
        <v>0</v>
      </c>
      <c r="K192" s="79">
        <f t="shared" ref="K192:L192" si="50">SUM(K193:K196)</f>
        <v>0</v>
      </c>
      <c r="L192" s="79">
        <f t="shared" si="50"/>
        <v>0</v>
      </c>
      <c r="M192" s="79">
        <f t="shared" si="49"/>
        <v>0</v>
      </c>
      <c r="N192" s="79">
        <f t="shared" si="49"/>
        <v>0</v>
      </c>
      <c r="O192" s="79">
        <f t="shared" si="49"/>
        <v>0</v>
      </c>
      <c r="P192" s="79">
        <f t="shared" si="49"/>
        <v>0</v>
      </c>
      <c r="Q192" s="79">
        <f t="shared" si="49"/>
        <v>0</v>
      </c>
      <c r="R192" s="79">
        <f t="shared" si="49"/>
        <v>0</v>
      </c>
      <c r="S192" s="79">
        <f t="shared" si="49"/>
        <v>0</v>
      </c>
    </row>
    <row r="193" spans="1:19" s="28" customFormat="1" x14ac:dyDescent="0.25">
      <c r="A193" s="38"/>
      <c r="B193" s="38" t="str">
        <f t="shared" si="35"/>
        <v>b</v>
      </c>
      <c r="C193" s="57"/>
      <c r="D193" s="58" t="s">
        <v>219</v>
      </c>
      <c r="E193" s="79"/>
      <c r="F193" s="79"/>
      <c r="G193" s="42">
        <f>SUM(H193:S193)</f>
        <v>0</v>
      </c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</row>
    <row r="194" spans="1:19" s="28" customFormat="1" x14ac:dyDescent="0.25">
      <c r="A194" s="38"/>
      <c r="B194" s="38" t="str">
        <f t="shared" si="35"/>
        <v>b</v>
      </c>
      <c r="C194" s="57"/>
      <c r="D194" s="58" t="s">
        <v>220</v>
      </c>
      <c r="E194" s="79"/>
      <c r="F194" s="79"/>
      <c r="G194" s="42">
        <f>SUM(H194:S194)</f>
        <v>0</v>
      </c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</row>
    <row r="195" spans="1:19" s="28" customFormat="1" x14ac:dyDescent="0.25">
      <c r="A195" s="38"/>
      <c r="B195" s="38" t="str">
        <f t="shared" si="35"/>
        <v>b</v>
      </c>
      <c r="C195" s="57"/>
      <c r="D195" s="58" t="s">
        <v>221</v>
      </c>
      <c r="E195" s="79"/>
      <c r="F195" s="79"/>
      <c r="G195" s="42">
        <f>SUM(H195:S195)</f>
        <v>0</v>
      </c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</row>
    <row r="196" spans="1:19" s="28" customFormat="1" ht="36" x14ac:dyDescent="0.25">
      <c r="A196" s="38"/>
      <c r="B196" s="38" t="str">
        <f t="shared" si="35"/>
        <v>b</v>
      </c>
      <c r="C196" s="57"/>
      <c r="D196" s="58" t="s">
        <v>222</v>
      </c>
      <c r="E196" s="79"/>
      <c r="F196" s="79"/>
      <c r="G196" s="42">
        <f>SUM(H196:S196)</f>
        <v>0</v>
      </c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</row>
    <row r="197" spans="1:19" s="28" customFormat="1" x14ac:dyDescent="0.25">
      <c r="A197" s="38"/>
      <c r="B197" s="38" t="str">
        <f t="shared" si="35"/>
        <v>b</v>
      </c>
      <c r="C197" s="75"/>
      <c r="D197" s="76" t="s">
        <v>223</v>
      </c>
      <c r="E197" s="79"/>
      <c r="F197" s="79"/>
      <c r="G197" s="42">
        <f>SUM(H197:S197)</f>
        <v>0</v>
      </c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</row>
    <row r="198" spans="1:19" s="28" customFormat="1" x14ac:dyDescent="0.25">
      <c r="A198" s="38"/>
      <c r="B198" s="38" t="str">
        <f t="shared" si="35"/>
        <v>a</v>
      </c>
      <c r="C198" s="75"/>
      <c r="D198" s="76" t="s">
        <v>224</v>
      </c>
      <c r="E198" s="79">
        <f>E199+E200+E201+E204</f>
        <v>0</v>
      </c>
      <c r="F198" s="79">
        <f t="shared" ref="F198:S198" si="51">F199+F200+F201+F204</f>
        <v>0</v>
      </c>
      <c r="G198" s="79">
        <f>G199+G200+G201+G204</f>
        <v>50</v>
      </c>
      <c r="H198" s="79">
        <f t="shared" si="51"/>
        <v>0</v>
      </c>
      <c r="I198" s="79">
        <f t="shared" si="51"/>
        <v>50</v>
      </c>
      <c r="J198" s="79">
        <f t="shared" si="51"/>
        <v>0</v>
      </c>
      <c r="K198" s="79">
        <f t="shared" si="51"/>
        <v>0</v>
      </c>
      <c r="L198" s="79">
        <f t="shared" si="51"/>
        <v>0</v>
      </c>
      <c r="M198" s="79">
        <f t="shared" si="51"/>
        <v>0</v>
      </c>
      <c r="N198" s="79">
        <f t="shared" si="51"/>
        <v>0</v>
      </c>
      <c r="O198" s="79">
        <f t="shared" si="51"/>
        <v>0</v>
      </c>
      <c r="P198" s="79">
        <f t="shared" si="51"/>
        <v>0</v>
      </c>
      <c r="Q198" s="79">
        <f t="shared" si="51"/>
        <v>0</v>
      </c>
      <c r="R198" s="79">
        <f t="shared" si="51"/>
        <v>0</v>
      </c>
      <c r="S198" s="79">
        <f t="shared" si="51"/>
        <v>0</v>
      </c>
    </row>
    <row r="199" spans="1:19" s="28" customFormat="1" x14ac:dyDescent="0.25">
      <c r="A199" s="38"/>
      <c r="B199" s="38" t="str">
        <f t="shared" si="35"/>
        <v>a</v>
      </c>
      <c r="C199" s="54"/>
      <c r="D199" s="55" t="s">
        <v>225</v>
      </c>
      <c r="E199" s="79"/>
      <c r="F199" s="79"/>
      <c r="G199" s="42">
        <f>SUM(H199:S199)</f>
        <v>50</v>
      </c>
      <c r="H199" s="79"/>
      <c r="I199" s="79">
        <v>50</v>
      </c>
      <c r="J199" s="79"/>
      <c r="K199" s="79"/>
      <c r="L199" s="79"/>
      <c r="M199" s="79"/>
      <c r="N199" s="79"/>
      <c r="O199" s="79"/>
      <c r="P199" s="79"/>
      <c r="Q199" s="79"/>
      <c r="R199" s="79"/>
      <c r="S199" s="79"/>
    </row>
    <row r="200" spans="1:19" s="28" customFormat="1" x14ac:dyDescent="0.25">
      <c r="A200" s="38"/>
      <c r="B200" s="38" t="str">
        <f t="shared" ref="B200:B239" si="52">IF(OR(H200&lt;&gt;0,I200&lt;&gt;0,K200&lt;&gt;0,L200&lt;&gt;0,M200&lt;&gt;0,N200&lt;&gt;0),"a","b")</f>
        <v>b</v>
      </c>
      <c r="C200" s="54"/>
      <c r="D200" s="55" t="s">
        <v>226</v>
      </c>
      <c r="E200" s="64"/>
      <c r="F200" s="64"/>
      <c r="G200" s="42">
        <f>SUM(H200:S200)</f>
        <v>0</v>
      </c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</row>
    <row r="201" spans="1:19" s="28" customFormat="1" x14ac:dyDescent="0.25">
      <c r="A201" s="38"/>
      <c r="B201" s="38" t="str">
        <f t="shared" si="52"/>
        <v>b</v>
      </c>
      <c r="C201" s="54"/>
      <c r="D201" s="55" t="s">
        <v>227</v>
      </c>
      <c r="E201" s="56">
        <f>SUM(E202:E203)</f>
        <v>0</v>
      </c>
      <c r="F201" s="56">
        <f t="shared" ref="F201:S201" si="53">SUM(F202:F203)</f>
        <v>0</v>
      </c>
      <c r="G201" s="56">
        <f>SUM(G202:G203)</f>
        <v>0</v>
      </c>
      <c r="H201" s="56">
        <f t="shared" si="53"/>
        <v>0</v>
      </c>
      <c r="I201" s="56">
        <f t="shared" si="53"/>
        <v>0</v>
      </c>
      <c r="J201" s="56">
        <f t="shared" si="53"/>
        <v>0</v>
      </c>
      <c r="K201" s="56">
        <f t="shared" si="53"/>
        <v>0</v>
      </c>
      <c r="L201" s="56">
        <f t="shared" si="53"/>
        <v>0</v>
      </c>
      <c r="M201" s="56">
        <f t="shared" si="53"/>
        <v>0</v>
      </c>
      <c r="N201" s="56">
        <f t="shared" si="53"/>
        <v>0</v>
      </c>
      <c r="O201" s="56">
        <f t="shared" si="53"/>
        <v>0</v>
      </c>
      <c r="P201" s="56">
        <f t="shared" si="53"/>
        <v>0</v>
      </c>
      <c r="Q201" s="56">
        <f t="shared" si="53"/>
        <v>0</v>
      </c>
      <c r="R201" s="56">
        <f t="shared" si="53"/>
        <v>0</v>
      </c>
      <c r="S201" s="56">
        <f t="shared" si="53"/>
        <v>0</v>
      </c>
    </row>
    <row r="202" spans="1:19" s="28" customFormat="1" ht="36" x14ac:dyDescent="0.25">
      <c r="A202" s="38"/>
      <c r="B202" s="38" t="str">
        <f t="shared" si="52"/>
        <v>b</v>
      </c>
      <c r="C202" s="57"/>
      <c r="D202" s="58" t="s">
        <v>228</v>
      </c>
      <c r="E202" s="59"/>
      <c r="F202" s="59"/>
      <c r="G202" s="42">
        <f>SUM(H202:S202)</f>
        <v>0</v>
      </c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</row>
    <row r="203" spans="1:19" s="28" customFormat="1" x14ac:dyDescent="0.25">
      <c r="A203" s="38"/>
      <c r="B203" s="38" t="str">
        <f t="shared" si="52"/>
        <v>b</v>
      </c>
      <c r="C203" s="57"/>
      <c r="D203" s="58" t="s">
        <v>229</v>
      </c>
      <c r="E203" s="59"/>
      <c r="F203" s="59"/>
      <c r="G203" s="42">
        <f>SUM(H203:S203)</f>
        <v>0</v>
      </c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</row>
    <row r="204" spans="1:19" s="28" customFormat="1" x14ac:dyDescent="0.25">
      <c r="A204" s="38"/>
      <c r="B204" s="38" t="str">
        <f t="shared" si="52"/>
        <v>b</v>
      </c>
      <c r="C204" s="54"/>
      <c r="D204" s="55" t="s">
        <v>230</v>
      </c>
      <c r="E204" s="64"/>
      <c r="F204" s="64"/>
      <c r="G204" s="42">
        <f>SUM(H204:S204)</f>
        <v>0</v>
      </c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</row>
    <row r="205" spans="1:19" s="28" customFormat="1" x14ac:dyDescent="0.25">
      <c r="A205" s="38" t="s">
        <v>54</v>
      </c>
      <c r="B205" s="38" t="str">
        <f t="shared" si="52"/>
        <v>b</v>
      </c>
      <c r="C205" s="73"/>
      <c r="D205" s="74" t="s">
        <v>231</v>
      </c>
      <c r="E205" s="83">
        <f>E206+E214+E222</f>
        <v>0</v>
      </c>
      <c r="F205" s="83">
        <f t="shared" ref="F205:S205" si="54">F206+F214+F222</f>
        <v>0</v>
      </c>
      <c r="G205" s="83">
        <f>G206+G214+G222</f>
        <v>0</v>
      </c>
      <c r="H205" s="83">
        <f t="shared" si="54"/>
        <v>0</v>
      </c>
      <c r="I205" s="83">
        <f t="shared" si="54"/>
        <v>0</v>
      </c>
      <c r="J205" s="83">
        <f t="shared" si="54"/>
        <v>0</v>
      </c>
      <c r="K205" s="83">
        <f t="shared" si="54"/>
        <v>0</v>
      </c>
      <c r="L205" s="83">
        <f t="shared" si="54"/>
        <v>0</v>
      </c>
      <c r="M205" s="83">
        <f t="shared" si="54"/>
        <v>0</v>
      </c>
      <c r="N205" s="83">
        <f t="shared" si="54"/>
        <v>0</v>
      </c>
      <c r="O205" s="83">
        <f t="shared" si="54"/>
        <v>0</v>
      </c>
      <c r="P205" s="83">
        <f t="shared" si="54"/>
        <v>0</v>
      </c>
      <c r="Q205" s="83">
        <f t="shared" si="54"/>
        <v>0</v>
      </c>
      <c r="R205" s="83">
        <f t="shared" si="54"/>
        <v>0</v>
      </c>
      <c r="S205" s="83">
        <f t="shared" si="54"/>
        <v>0</v>
      </c>
    </row>
    <row r="206" spans="1:19" s="28" customFormat="1" x14ac:dyDescent="0.25">
      <c r="A206" s="38"/>
      <c r="B206" s="38" t="str">
        <f t="shared" si="52"/>
        <v>b</v>
      </c>
      <c r="C206" s="75"/>
      <c r="D206" s="76" t="s">
        <v>232</v>
      </c>
      <c r="E206" s="84">
        <f>SUM(E207:E213)</f>
        <v>0</v>
      </c>
      <c r="F206" s="84">
        <f t="shared" ref="F206:S206" si="55">SUM(F207:F213)</f>
        <v>0</v>
      </c>
      <c r="G206" s="84">
        <f>SUM(G207:G213)</f>
        <v>0</v>
      </c>
      <c r="H206" s="84">
        <f t="shared" si="55"/>
        <v>0</v>
      </c>
      <c r="I206" s="84">
        <f t="shared" si="55"/>
        <v>0</v>
      </c>
      <c r="J206" s="84">
        <f t="shared" si="55"/>
        <v>0</v>
      </c>
      <c r="K206" s="84">
        <f t="shared" si="55"/>
        <v>0</v>
      </c>
      <c r="L206" s="84">
        <f t="shared" si="55"/>
        <v>0</v>
      </c>
      <c r="M206" s="84">
        <f t="shared" si="55"/>
        <v>0</v>
      </c>
      <c r="N206" s="84">
        <f t="shared" si="55"/>
        <v>0</v>
      </c>
      <c r="O206" s="84">
        <f t="shared" si="55"/>
        <v>0</v>
      </c>
      <c r="P206" s="84">
        <f t="shared" si="55"/>
        <v>0</v>
      </c>
      <c r="Q206" s="84">
        <f t="shared" si="55"/>
        <v>0</v>
      </c>
      <c r="R206" s="84">
        <f t="shared" si="55"/>
        <v>0</v>
      </c>
      <c r="S206" s="84">
        <f t="shared" si="55"/>
        <v>0</v>
      </c>
    </row>
    <row r="207" spans="1:19" s="28" customFormat="1" x14ac:dyDescent="0.25">
      <c r="A207" s="38"/>
      <c r="B207" s="38" t="str">
        <f t="shared" si="52"/>
        <v>b</v>
      </c>
      <c r="C207" s="54"/>
      <c r="D207" s="55" t="s">
        <v>233</v>
      </c>
      <c r="E207" s="56"/>
      <c r="F207" s="56"/>
      <c r="G207" s="42">
        <f t="shared" ref="G207:G213" si="56">SUM(H207:S207)</f>
        <v>0</v>
      </c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</row>
    <row r="208" spans="1:19" s="28" customFormat="1" x14ac:dyDescent="0.25">
      <c r="A208" s="38"/>
      <c r="B208" s="38" t="str">
        <f t="shared" si="52"/>
        <v>b</v>
      </c>
      <c r="C208" s="54"/>
      <c r="D208" s="55" t="s">
        <v>234</v>
      </c>
      <c r="E208" s="56"/>
      <c r="F208" s="56"/>
      <c r="G208" s="42">
        <f t="shared" si="56"/>
        <v>0</v>
      </c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</row>
    <row r="209" spans="1:19" s="28" customFormat="1" x14ac:dyDescent="0.25">
      <c r="A209" s="38"/>
      <c r="B209" s="38" t="str">
        <f t="shared" si="52"/>
        <v>b</v>
      </c>
      <c r="C209" s="54"/>
      <c r="D209" s="55" t="s">
        <v>235</v>
      </c>
      <c r="E209" s="59"/>
      <c r="F209" s="59"/>
      <c r="G209" s="42">
        <f t="shared" si="56"/>
        <v>0</v>
      </c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</row>
    <row r="210" spans="1:19" s="28" customFormat="1" x14ac:dyDescent="0.25">
      <c r="A210" s="38"/>
      <c r="B210" s="38" t="str">
        <f t="shared" si="52"/>
        <v>b</v>
      </c>
      <c r="C210" s="54"/>
      <c r="D210" s="55" t="s">
        <v>236</v>
      </c>
      <c r="E210" s="59"/>
      <c r="F210" s="59"/>
      <c r="G210" s="42">
        <f t="shared" si="56"/>
        <v>0</v>
      </c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</row>
    <row r="211" spans="1:19" s="28" customFormat="1" x14ac:dyDescent="0.25">
      <c r="A211" s="38"/>
      <c r="B211" s="38" t="str">
        <f t="shared" si="52"/>
        <v>b</v>
      </c>
      <c r="C211" s="54"/>
      <c r="D211" s="55" t="s">
        <v>237</v>
      </c>
      <c r="E211" s="59"/>
      <c r="F211" s="59"/>
      <c r="G211" s="42">
        <f t="shared" si="56"/>
        <v>0</v>
      </c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</row>
    <row r="212" spans="1:19" s="28" customFormat="1" x14ac:dyDescent="0.25">
      <c r="A212" s="38"/>
      <c r="B212" s="38" t="str">
        <f t="shared" si="52"/>
        <v>b</v>
      </c>
      <c r="C212" s="54"/>
      <c r="D212" s="55" t="s">
        <v>238</v>
      </c>
      <c r="E212" s="59"/>
      <c r="F212" s="59"/>
      <c r="G212" s="42">
        <f t="shared" si="56"/>
        <v>0</v>
      </c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</row>
    <row r="213" spans="1:19" s="28" customFormat="1" x14ac:dyDescent="0.25">
      <c r="A213" s="38"/>
      <c r="B213" s="38" t="str">
        <f t="shared" si="52"/>
        <v>b</v>
      </c>
      <c r="C213" s="54"/>
      <c r="D213" s="55" t="s">
        <v>239</v>
      </c>
      <c r="E213" s="84"/>
      <c r="F213" s="84"/>
      <c r="G213" s="42">
        <f t="shared" si="56"/>
        <v>0</v>
      </c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</row>
    <row r="214" spans="1:19" s="28" customFormat="1" x14ac:dyDescent="0.25">
      <c r="A214" s="38"/>
      <c r="B214" s="38" t="str">
        <f t="shared" si="52"/>
        <v>b</v>
      </c>
      <c r="C214" s="75"/>
      <c r="D214" s="76" t="s">
        <v>240</v>
      </c>
      <c r="E214" s="84">
        <f>SUM(E215:E221)</f>
        <v>0</v>
      </c>
      <c r="F214" s="84">
        <f t="shared" ref="F214:S214" si="57">SUM(F215:F221)</f>
        <v>0</v>
      </c>
      <c r="G214" s="84">
        <f>SUM(G215:G221)</f>
        <v>0</v>
      </c>
      <c r="H214" s="84">
        <f t="shared" si="57"/>
        <v>0</v>
      </c>
      <c r="I214" s="84">
        <f t="shared" si="57"/>
        <v>0</v>
      </c>
      <c r="J214" s="84">
        <f t="shared" si="57"/>
        <v>0</v>
      </c>
      <c r="K214" s="84">
        <f t="shared" si="57"/>
        <v>0</v>
      </c>
      <c r="L214" s="84">
        <f t="shared" si="57"/>
        <v>0</v>
      </c>
      <c r="M214" s="84">
        <f t="shared" si="57"/>
        <v>0</v>
      </c>
      <c r="N214" s="84">
        <f t="shared" si="57"/>
        <v>0</v>
      </c>
      <c r="O214" s="84">
        <f t="shared" si="57"/>
        <v>0</v>
      </c>
      <c r="P214" s="84">
        <f t="shared" si="57"/>
        <v>0</v>
      </c>
      <c r="Q214" s="84">
        <f t="shared" si="57"/>
        <v>0</v>
      </c>
      <c r="R214" s="84">
        <f t="shared" si="57"/>
        <v>0</v>
      </c>
      <c r="S214" s="84">
        <f t="shared" si="57"/>
        <v>0</v>
      </c>
    </row>
    <row r="215" spans="1:19" s="28" customFormat="1" x14ac:dyDescent="0.25">
      <c r="A215" s="38"/>
      <c r="B215" s="38" t="str">
        <f t="shared" si="52"/>
        <v>b</v>
      </c>
      <c r="C215" s="54"/>
      <c r="D215" s="55" t="s">
        <v>233</v>
      </c>
      <c r="E215" s="56"/>
      <c r="F215" s="56"/>
      <c r="G215" s="42">
        <f>H215+I215+J215+K215+L215+M215+N215+O215+P215+Q215+R215+S215</f>
        <v>0</v>
      </c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</row>
    <row r="216" spans="1:19" s="28" customFormat="1" x14ac:dyDescent="0.25">
      <c r="A216" s="38"/>
      <c r="B216" s="38" t="str">
        <f t="shared" si="52"/>
        <v>b</v>
      </c>
      <c r="C216" s="54"/>
      <c r="D216" s="55" t="s">
        <v>234</v>
      </c>
      <c r="E216" s="56"/>
      <c r="F216" s="56"/>
      <c r="G216" s="42">
        <f t="shared" ref="G216:G222" si="58">SUM(H216:S216)</f>
        <v>0</v>
      </c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</row>
    <row r="217" spans="1:19" s="28" customFormat="1" x14ac:dyDescent="0.25">
      <c r="A217" s="38"/>
      <c r="B217" s="38" t="str">
        <f t="shared" si="52"/>
        <v>b</v>
      </c>
      <c r="C217" s="54"/>
      <c r="D217" s="55" t="s">
        <v>241</v>
      </c>
      <c r="E217" s="56"/>
      <c r="F217" s="56"/>
      <c r="G217" s="42">
        <f t="shared" si="58"/>
        <v>0</v>
      </c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</row>
    <row r="218" spans="1:19" s="28" customFormat="1" x14ac:dyDescent="0.25">
      <c r="A218" s="38"/>
      <c r="B218" s="38" t="str">
        <f t="shared" si="52"/>
        <v>b</v>
      </c>
      <c r="C218" s="54"/>
      <c r="D218" s="55" t="s">
        <v>242</v>
      </c>
      <c r="E218" s="59"/>
      <c r="F218" s="59"/>
      <c r="G218" s="42">
        <f t="shared" si="58"/>
        <v>0</v>
      </c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</row>
    <row r="219" spans="1:19" s="28" customFormat="1" x14ac:dyDescent="0.25">
      <c r="A219" s="38"/>
      <c r="B219" s="38" t="str">
        <f t="shared" si="52"/>
        <v>b</v>
      </c>
      <c r="C219" s="54"/>
      <c r="D219" s="55" t="s">
        <v>243</v>
      </c>
      <c r="E219" s="59"/>
      <c r="F219" s="59"/>
      <c r="G219" s="42">
        <f t="shared" si="58"/>
        <v>0</v>
      </c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</row>
    <row r="220" spans="1:19" s="28" customFormat="1" x14ac:dyDescent="0.25">
      <c r="A220" s="38"/>
      <c r="B220" s="38" t="str">
        <f t="shared" si="52"/>
        <v>b</v>
      </c>
      <c r="C220" s="54"/>
      <c r="D220" s="55" t="s">
        <v>244</v>
      </c>
      <c r="E220" s="56"/>
      <c r="F220" s="56"/>
      <c r="G220" s="42">
        <f t="shared" si="58"/>
        <v>0</v>
      </c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</row>
    <row r="221" spans="1:19" s="28" customFormat="1" x14ac:dyDescent="0.25">
      <c r="A221" s="38"/>
      <c r="B221" s="38" t="str">
        <f t="shared" si="52"/>
        <v>b</v>
      </c>
      <c r="C221" s="54"/>
      <c r="D221" s="55" t="s">
        <v>239</v>
      </c>
      <c r="E221" s="85"/>
      <c r="F221" s="85"/>
      <c r="G221" s="42">
        <f t="shared" si="58"/>
        <v>0</v>
      </c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</row>
    <row r="222" spans="1:19" s="28" customFormat="1" ht="33" customHeight="1" x14ac:dyDescent="0.25">
      <c r="A222" s="38"/>
      <c r="B222" s="38" t="str">
        <f t="shared" si="52"/>
        <v>b</v>
      </c>
      <c r="C222" s="75"/>
      <c r="D222" s="76" t="s">
        <v>245</v>
      </c>
      <c r="E222" s="84"/>
      <c r="F222" s="84"/>
      <c r="G222" s="42">
        <f t="shared" si="58"/>
        <v>0</v>
      </c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</row>
    <row r="223" spans="1:19" s="28" customFormat="1" x14ac:dyDescent="0.25">
      <c r="A223" s="30" t="s">
        <v>54</v>
      </c>
      <c r="B223" s="30" t="str">
        <f t="shared" si="52"/>
        <v>b</v>
      </c>
      <c r="C223" s="73"/>
      <c r="D223" s="74" t="s">
        <v>43</v>
      </c>
      <c r="E223" s="56">
        <f>E224+E232</f>
        <v>0</v>
      </c>
      <c r="F223" s="56">
        <f t="shared" ref="F223:S223" si="59">F224+F232</f>
        <v>0</v>
      </c>
      <c r="G223" s="56">
        <f>G224+G232</f>
        <v>0</v>
      </c>
      <c r="H223" s="56">
        <f t="shared" si="59"/>
        <v>0</v>
      </c>
      <c r="I223" s="56">
        <f t="shared" si="59"/>
        <v>0</v>
      </c>
      <c r="J223" s="56">
        <f t="shared" si="59"/>
        <v>0</v>
      </c>
      <c r="K223" s="56">
        <f t="shared" si="59"/>
        <v>0</v>
      </c>
      <c r="L223" s="56">
        <f t="shared" si="59"/>
        <v>0</v>
      </c>
      <c r="M223" s="56">
        <f t="shared" si="59"/>
        <v>0</v>
      </c>
      <c r="N223" s="56">
        <f t="shared" si="59"/>
        <v>0</v>
      </c>
      <c r="O223" s="56">
        <f t="shared" si="59"/>
        <v>0</v>
      </c>
      <c r="P223" s="56">
        <f t="shared" si="59"/>
        <v>0</v>
      </c>
      <c r="Q223" s="56">
        <f t="shared" si="59"/>
        <v>0</v>
      </c>
      <c r="R223" s="56">
        <f t="shared" si="59"/>
        <v>0</v>
      </c>
      <c r="S223" s="56">
        <f t="shared" si="59"/>
        <v>0</v>
      </c>
    </row>
    <row r="224" spans="1:19" s="28" customFormat="1" x14ac:dyDescent="0.25">
      <c r="A224" s="30"/>
      <c r="B224" s="30" t="str">
        <f t="shared" si="52"/>
        <v>b</v>
      </c>
      <c r="C224" s="75"/>
      <c r="D224" s="76" t="s">
        <v>232</v>
      </c>
      <c r="E224" s="56">
        <f>SUM(E225:E231)</f>
        <v>0</v>
      </c>
      <c r="F224" s="56">
        <f t="shared" ref="F224:S224" si="60">SUM(F225:F231)</f>
        <v>0</v>
      </c>
      <c r="G224" s="56">
        <f>SUM(G225:G231)</f>
        <v>0</v>
      </c>
      <c r="H224" s="56">
        <f t="shared" si="60"/>
        <v>0</v>
      </c>
      <c r="I224" s="56">
        <f t="shared" si="60"/>
        <v>0</v>
      </c>
      <c r="J224" s="56">
        <f t="shared" si="60"/>
        <v>0</v>
      </c>
      <c r="K224" s="56">
        <f t="shared" si="60"/>
        <v>0</v>
      </c>
      <c r="L224" s="56">
        <f t="shared" si="60"/>
        <v>0</v>
      </c>
      <c r="M224" s="56">
        <f t="shared" si="60"/>
        <v>0</v>
      </c>
      <c r="N224" s="56">
        <f t="shared" si="60"/>
        <v>0</v>
      </c>
      <c r="O224" s="56">
        <f t="shared" si="60"/>
        <v>0</v>
      </c>
      <c r="P224" s="56">
        <f t="shared" si="60"/>
        <v>0</v>
      </c>
      <c r="Q224" s="56">
        <f t="shared" si="60"/>
        <v>0</v>
      </c>
      <c r="R224" s="56">
        <f t="shared" si="60"/>
        <v>0</v>
      </c>
      <c r="S224" s="56">
        <f t="shared" si="60"/>
        <v>0</v>
      </c>
    </row>
    <row r="225" spans="1:19" s="28" customFormat="1" x14ac:dyDescent="0.25">
      <c r="A225" s="38"/>
      <c r="B225" s="38" t="str">
        <f t="shared" si="52"/>
        <v>b</v>
      </c>
      <c r="C225" s="54"/>
      <c r="D225" s="55" t="s">
        <v>233</v>
      </c>
      <c r="E225" s="56"/>
      <c r="F225" s="56"/>
      <c r="G225" s="42">
        <f t="shared" ref="G225:G231" si="61">SUM(H225:S225)</f>
        <v>0</v>
      </c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</row>
    <row r="226" spans="1:19" s="28" customFormat="1" x14ac:dyDescent="0.25">
      <c r="A226" s="38"/>
      <c r="B226" s="38" t="str">
        <f t="shared" si="52"/>
        <v>b</v>
      </c>
      <c r="C226" s="54"/>
      <c r="D226" s="55" t="s">
        <v>246</v>
      </c>
      <c r="E226" s="56"/>
      <c r="F226" s="56"/>
      <c r="G226" s="42">
        <f t="shared" si="61"/>
        <v>0</v>
      </c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</row>
    <row r="227" spans="1:19" s="28" customFormat="1" x14ac:dyDescent="0.25">
      <c r="A227" s="38"/>
      <c r="B227" s="38" t="str">
        <f t="shared" si="52"/>
        <v>b</v>
      </c>
      <c r="C227" s="54"/>
      <c r="D227" s="55" t="s">
        <v>241</v>
      </c>
      <c r="E227" s="56"/>
      <c r="F227" s="56"/>
      <c r="G227" s="42">
        <f t="shared" si="61"/>
        <v>0</v>
      </c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</row>
    <row r="228" spans="1:19" s="28" customFormat="1" ht="36" x14ac:dyDescent="0.25">
      <c r="A228" s="38"/>
      <c r="B228" s="38" t="str">
        <f t="shared" si="52"/>
        <v>b</v>
      </c>
      <c r="C228" s="54"/>
      <c r="D228" s="55" t="s">
        <v>247</v>
      </c>
      <c r="E228" s="56"/>
      <c r="F228" s="56"/>
      <c r="G228" s="42">
        <f t="shared" si="61"/>
        <v>0</v>
      </c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</row>
    <row r="229" spans="1:19" s="28" customFormat="1" x14ac:dyDescent="0.25">
      <c r="A229" s="38"/>
      <c r="B229" s="38" t="str">
        <f t="shared" si="52"/>
        <v>b</v>
      </c>
      <c r="C229" s="54"/>
      <c r="D229" s="55" t="s">
        <v>248</v>
      </c>
      <c r="E229" s="56"/>
      <c r="F229" s="56"/>
      <c r="G229" s="42">
        <f t="shared" si="61"/>
        <v>0</v>
      </c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</row>
    <row r="230" spans="1:19" s="28" customFormat="1" x14ac:dyDescent="0.25">
      <c r="A230" s="38"/>
      <c r="B230" s="38" t="str">
        <f t="shared" si="52"/>
        <v>b</v>
      </c>
      <c r="C230" s="54"/>
      <c r="D230" s="55" t="s">
        <v>244</v>
      </c>
      <c r="E230" s="84"/>
      <c r="F230" s="84"/>
      <c r="G230" s="42">
        <f t="shared" si="61"/>
        <v>0</v>
      </c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</row>
    <row r="231" spans="1:19" s="28" customFormat="1" x14ac:dyDescent="0.25">
      <c r="A231" s="30"/>
      <c r="B231" s="30" t="str">
        <f t="shared" si="52"/>
        <v>b</v>
      </c>
      <c r="C231" s="54"/>
      <c r="D231" s="55" t="s">
        <v>249</v>
      </c>
      <c r="E231" s="17"/>
      <c r="F231" s="17"/>
      <c r="G231" s="42">
        <f t="shared" si="61"/>
        <v>0</v>
      </c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28" customFormat="1" x14ac:dyDescent="0.25">
      <c r="A232" s="38"/>
      <c r="B232" s="38" t="str">
        <f t="shared" si="52"/>
        <v>b</v>
      </c>
      <c r="C232" s="75"/>
      <c r="D232" s="76" t="s">
        <v>250</v>
      </c>
      <c r="E232" s="56">
        <f>SUM(E233:E239)</f>
        <v>0</v>
      </c>
      <c r="F232" s="56">
        <f t="shared" ref="F232:S232" si="62">SUM(F233:F239)</f>
        <v>0</v>
      </c>
      <c r="G232" s="56">
        <f>SUM(G233:G239)</f>
        <v>0</v>
      </c>
      <c r="H232" s="56">
        <f t="shared" si="62"/>
        <v>0</v>
      </c>
      <c r="I232" s="56">
        <f t="shared" si="62"/>
        <v>0</v>
      </c>
      <c r="J232" s="56">
        <f t="shared" si="62"/>
        <v>0</v>
      </c>
      <c r="K232" s="56">
        <f t="shared" ref="K232:L232" si="63">SUM(K233:K239)</f>
        <v>0</v>
      </c>
      <c r="L232" s="56">
        <f t="shared" si="63"/>
        <v>0</v>
      </c>
      <c r="M232" s="56">
        <f t="shared" si="62"/>
        <v>0</v>
      </c>
      <c r="N232" s="56">
        <f t="shared" si="62"/>
        <v>0</v>
      </c>
      <c r="O232" s="56">
        <f t="shared" si="62"/>
        <v>0</v>
      </c>
      <c r="P232" s="56">
        <f t="shared" si="62"/>
        <v>0</v>
      </c>
      <c r="Q232" s="56">
        <f t="shared" si="62"/>
        <v>0</v>
      </c>
      <c r="R232" s="56">
        <f t="shared" si="62"/>
        <v>0</v>
      </c>
      <c r="S232" s="56">
        <f t="shared" si="62"/>
        <v>0</v>
      </c>
    </row>
    <row r="233" spans="1:19" s="28" customFormat="1" x14ac:dyDescent="0.25">
      <c r="A233" s="38"/>
      <c r="B233" s="38" t="str">
        <f t="shared" si="52"/>
        <v>b</v>
      </c>
      <c r="C233" s="54"/>
      <c r="D233" s="55" t="s">
        <v>251</v>
      </c>
      <c r="E233" s="56"/>
      <c r="F233" s="56"/>
      <c r="G233" s="42">
        <f t="shared" ref="G233:G239" si="64">SUM(H233:S233)</f>
        <v>0</v>
      </c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</row>
    <row r="234" spans="1:19" s="28" customFormat="1" x14ac:dyDescent="0.25">
      <c r="A234" s="38"/>
      <c r="B234" s="38" t="str">
        <f t="shared" si="52"/>
        <v>b</v>
      </c>
      <c r="C234" s="54"/>
      <c r="D234" s="55" t="s">
        <v>246</v>
      </c>
      <c r="E234" s="56"/>
      <c r="F234" s="56"/>
      <c r="G234" s="42">
        <f t="shared" si="64"/>
        <v>0</v>
      </c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</row>
    <row r="235" spans="1:19" s="28" customFormat="1" x14ac:dyDescent="0.25">
      <c r="A235" s="38"/>
      <c r="B235" s="38" t="str">
        <f t="shared" si="52"/>
        <v>b</v>
      </c>
      <c r="C235" s="54"/>
      <c r="D235" s="55" t="s">
        <v>241</v>
      </c>
      <c r="E235" s="56"/>
      <c r="F235" s="56"/>
      <c r="G235" s="42">
        <f t="shared" si="64"/>
        <v>0</v>
      </c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</row>
    <row r="236" spans="1:19" s="28" customFormat="1" ht="36" x14ac:dyDescent="0.25">
      <c r="A236" s="38"/>
      <c r="B236" s="38" t="str">
        <f t="shared" si="52"/>
        <v>b</v>
      </c>
      <c r="C236" s="54"/>
      <c r="D236" s="55" t="s">
        <v>247</v>
      </c>
      <c r="E236" s="56"/>
      <c r="F236" s="56"/>
      <c r="G236" s="42">
        <f t="shared" si="64"/>
        <v>0</v>
      </c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</row>
    <row r="237" spans="1:19" s="28" customFormat="1" x14ac:dyDescent="0.25">
      <c r="A237" s="38"/>
      <c r="B237" s="38" t="str">
        <f t="shared" si="52"/>
        <v>b</v>
      </c>
      <c r="C237" s="54"/>
      <c r="D237" s="55" t="s">
        <v>252</v>
      </c>
      <c r="E237" s="56"/>
      <c r="F237" s="56"/>
      <c r="G237" s="42">
        <f t="shared" si="64"/>
        <v>0</v>
      </c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</row>
    <row r="238" spans="1:19" s="28" customFormat="1" x14ac:dyDescent="0.25">
      <c r="A238" s="38"/>
      <c r="B238" s="38" t="str">
        <f t="shared" si="52"/>
        <v>b</v>
      </c>
      <c r="C238" s="54"/>
      <c r="D238" s="55" t="s">
        <v>244</v>
      </c>
      <c r="E238" s="84"/>
      <c r="F238" s="84"/>
      <c r="G238" s="42">
        <f t="shared" si="64"/>
        <v>0</v>
      </c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</row>
    <row r="239" spans="1:19" s="28" customFormat="1" x14ac:dyDescent="0.25">
      <c r="A239" s="38"/>
      <c r="B239" s="38" t="str">
        <f t="shared" si="52"/>
        <v>b</v>
      </c>
      <c r="C239" s="86"/>
      <c r="D239" s="87" t="s">
        <v>249</v>
      </c>
      <c r="E239" s="88"/>
      <c r="F239" s="88"/>
      <c r="G239" s="42">
        <f t="shared" si="64"/>
        <v>0</v>
      </c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</row>
  </sheetData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0" zoomScaleNormal="80" workbookViewId="0">
      <selection activeCell="C48" sqref="C48"/>
    </sheetView>
  </sheetViews>
  <sheetFormatPr defaultRowHeight="15" x14ac:dyDescent="0.25"/>
  <cols>
    <col min="1" max="1" width="61" style="93" customWidth="1"/>
    <col min="2" max="2" width="17" style="94" customWidth="1"/>
    <col min="3" max="3" width="16.7109375" style="94" customWidth="1"/>
    <col min="4" max="24" width="14.85546875" style="94" customWidth="1"/>
    <col min="25" max="25" width="16" style="95" customWidth="1"/>
    <col min="26" max="253" width="9.140625" style="95"/>
    <col min="254" max="254" width="61" style="95" customWidth="1"/>
    <col min="255" max="280" width="14.85546875" style="95" customWidth="1"/>
    <col min="281" max="281" width="16" style="95" customWidth="1"/>
    <col min="282" max="509" width="9.140625" style="95"/>
    <col min="510" max="510" width="61" style="95" customWidth="1"/>
    <col min="511" max="536" width="14.85546875" style="95" customWidth="1"/>
    <col min="537" max="537" width="16" style="95" customWidth="1"/>
    <col min="538" max="765" width="9.140625" style="95"/>
    <col min="766" max="766" width="61" style="95" customWidth="1"/>
    <col min="767" max="792" width="14.85546875" style="95" customWidth="1"/>
    <col min="793" max="793" width="16" style="95" customWidth="1"/>
    <col min="794" max="1021" width="9.140625" style="95"/>
    <col min="1022" max="1022" width="61" style="95" customWidth="1"/>
    <col min="1023" max="1048" width="14.85546875" style="95" customWidth="1"/>
    <col min="1049" max="1049" width="16" style="95" customWidth="1"/>
    <col min="1050" max="1277" width="9.140625" style="95"/>
    <col min="1278" max="1278" width="61" style="95" customWidth="1"/>
    <col min="1279" max="1304" width="14.85546875" style="95" customWidth="1"/>
    <col min="1305" max="1305" width="16" style="95" customWidth="1"/>
    <col min="1306" max="1533" width="9.140625" style="95"/>
    <col min="1534" max="1534" width="61" style="95" customWidth="1"/>
    <col min="1535" max="1560" width="14.85546875" style="95" customWidth="1"/>
    <col min="1561" max="1561" width="16" style="95" customWidth="1"/>
    <col min="1562" max="1789" width="9.140625" style="95"/>
    <col min="1790" max="1790" width="61" style="95" customWidth="1"/>
    <col min="1791" max="1816" width="14.85546875" style="95" customWidth="1"/>
    <col min="1817" max="1817" width="16" style="95" customWidth="1"/>
    <col min="1818" max="2045" width="9.140625" style="95"/>
    <col min="2046" max="2046" width="61" style="95" customWidth="1"/>
    <col min="2047" max="2072" width="14.85546875" style="95" customWidth="1"/>
    <col min="2073" max="2073" width="16" style="95" customWidth="1"/>
    <col min="2074" max="2301" width="9.140625" style="95"/>
    <col min="2302" max="2302" width="61" style="95" customWidth="1"/>
    <col min="2303" max="2328" width="14.85546875" style="95" customWidth="1"/>
    <col min="2329" max="2329" width="16" style="95" customWidth="1"/>
    <col min="2330" max="2557" width="9.140625" style="95"/>
    <col min="2558" max="2558" width="61" style="95" customWidth="1"/>
    <col min="2559" max="2584" width="14.85546875" style="95" customWidth="1"/>
    <col min="2585" max="2585" width="16" style="95" customWidth="1"/>
    <col min="2586" max="2813" width="9.140625" style="95"/>
    <col min="2814" max="2814" width="61" style="95" customWidth="1"/>
    <col min="2815" max="2840" width="14.85546875" style="95" customWidth="1"/>
    <col min="2841" max="2841" width="16" style="95" customWidth="1"/>
    <col min="2842" max="3069" width="9.140625" style="95"/>
    <col min="3070" max="3070" width="61" style="95" customWidth="1"/>
    <col min="3071" max="3096" width="14.85546875" style="95" customWidth="1"/>
    <col min="3097" max="3097" width="16" style="95" customWidth="1"/>
    <col min="3098" max="3325" width="9.140625" style="95"/>
    <col min="3326" max="3326" width="61" style="95" customWidth="1"/>
    <col min="3327" max="3352" width="14.85546875" style="95" customWidth="1"/>
    <col min="3353" max="3353" width="16" style="95" customWidth="1"/>
    <col min="3354" max="3581" width="9.140625" style="95"/>
    <col min="3582" max="3582" width="61" style="95" customWidth="1"/>
    <col min="3583" max="3608" width="14.85546875" style="95" customWidth="1"/>
    <col min="3609" max="3609" width="16" style="95" customWidth="1"/>
    <col min="3610" max="3837" width="9.140625" style="95"/>
    <col min="3838" max="3838" width="61" style="95" customWidth="1"/>
    <col min="3839" max="3864" width="14.85546875" style="95" customWidth="1"/>
    <col min="3865" max="3865" width="16" style="95" customWidth="1"/>
    <col min="3866" max="4093" width="9.140625" style="95"/>
    <col min="4094" max="4094" width="61" style="95" customWidth="1"/>
    <col min="4095" max="4120" width="14.85546875" style="95" customWidth="1"/>
    <col min="4121" max="4121" width="16" style="95" customWidth="1"/>
    <col min="4122" max="4349" width="9.140625" style="95"/>
    <col min="4350" max="4350" width="61" style="95" customWidth="1"/>
    <col min="4351" max="4376" width="14.85546875" style="95" customWidth="1"/>
    <col min="4377" max="4377" width="16" style="95" customWidth="1"/>
    <col min="4378" max="4605" width="9.140625" style="95"/>
    <col min="4606" max="4606" width="61" style="95" customWidth="1"/>
    <col min="4607" max="4632" width="14.85546875" style="95" customWidth="1"/>
    <col min="4633" max="4633" width="16" style="95" customWidth="1"/>
    <col min="4634" max="4861" width="9.140625" style="95"/>
    <col min="4862" max="4862" width="61" style="95" customWidth="1"/>
    <col min="4863" max="4888" width="14.85546875" style="95" customWidth="1"/>
    <col min="4889" max="4889" width="16" style="95" customWidth="1"/>
    <col min="4890" max="5117" width="9.140625" style="95"/>
    <col min="5118" max="5118" width="61" style="95" customWidth="1"/>
    <col min="5119" max="5144" width="14.85546875" style="95" customWidth="1"/>
    <col min="5145" max="5145" width="16" style="95" customWidth="1"/>
    <col min="5146" max="5373" width="9.140625" style="95"/>
    <col min="5374" max="5374" width="61" style="95" customWidth="1"/>
    <col min="5375" max="5400" width="14.85546875" style="95" customWidth="1"/>
    <col min="5401" max="5401" width="16" style="95" customWidth="1"/>
    <col min="5402" max="5629" width="9.140625" style="95"/>
    <col min="5630" max="5630" width="61" style="95" customWidth="1"/>
    <col min="5631" max="5656" width="14.85546875" style="95" customWidth="1"/>
    <col min="5657" max="5657" width="16" style="95" customWidth="1"/>
    <col min="5658" max="5885" width="9.140625" style="95"/>
    <col min="5886" max="5886" width="61" style="95" customWidth="1"/>
    <col min="5887" max="5912" width="14.85546875" style="95" customWidth="1"/>
    <col min="5913" max="5913" width="16" style="95" customWidth="1"/>
    <col min="5914" max="6141" width="9.140625" style="95"/>
    <col min="6142" max="6142" width="61" style="95" customWidth="1"/>
    <col min="6143" max="6168" width="14.85546875" style="95" customWidth="1"/>
    <col min="6169" max="6169" width="16" style="95" customWidth="1"/>
    <col min="6170" max="6397" width="9.140625" style="95"/>
    <col min="6398" max="6398" width="61" style="95" customWidth="1"/>
    <col min="6399" max="6424" width="14.85546875" style="95" customWidth="1"/>
    <col min="6425" max="6425" width="16" style="95" customWidth="1"/>
    <col min="6426" max="6653" width="9.140625" style="95"/>
    <col min="6654" max="6654" width="61" style="95" customWidth="1"/>
    <col min="6655" max="6680" width="14.85546875" style="95" customWidth="1"/>
    <col min="6681" max="6681" width="16" style="95" customWidth="1"/>
    <col min="6682" max="6909" width="9.140625" style="95"/>
    <col min="6910" max="6910" width="61" style="95" customWidth="1"/>
    <col min="6911" max="6936" width="14.85546875" style="95" customWidth="1"/>
    <col min="6937" max="6937" width="16" style="95" customWidth="1"/>
    <col min="6938" max="7165" width="9.140625" style="95"/>
    <col min="7166" max="7166" width="61" style="95" customWidth="1"/>
    <col min="7167" max="7192" width="14.85546875" style="95" customWidth="1"/>
    <col min="7193" max="7193" width="16" style="95" customWidth="1"/>
    <col min="7194" max="7421" width="9.140625" style="95"/>
    <col min="7422" max="7422" width="61" style="95" customWidth="1"/>
    <col min="7423" max="7448" width="14.85546875" style="95" customWidth="1"/>
    <col min="7449" max="7449" width="16" style="95" customWidth="1"/>
    <col min="7450" max="7677" width="9.140625" style="95"/>
    <col min="7678" max="7678" width="61" style="95" customWidth="1"/>
    <col min="7679" max="7704" width="14.85546875" style="95" customWidth="1"/>
    <col min="7705" max="7705" width="16" style="95" customWidth="1"/>
    <col min="7706" max="7933" width="9.140625" style="95"/>
    <col min="7934" max="7934" width="61" style="95" customWidth="1"/>
    <col min="7935" max="7960" width="14.85546875" style="95" customWidth="1"/>
    <col min="7961" max="7961" width="16" style="95" customWidth="1"/>
    <col min="7962" max="8189" width="9.140625" style="95"/>
    <col min="8190" max="8190" width="61" style="95" customWidth="1"/>
    <col min="8191" max="8216" width="14.85546875" style="95" customWidth="1"/>
    <col min="8217" max="8217" width="16" style="95" customWidth="1"/>
    <col min="8218" max="8445" width="9.140625" style="95"/>
    <col min="8446" max="8446" width="61" style="95" customWidth="1"/>
    <col min="8447" max="8472" width="14.85546875" style="95" customWidth="1"/>
    <col min="8473" max="8473" width="16" style="95" customWidth="1"/>
    <col min="8474" max="8701" width="9.140625" style="95"/>
    <col min="8702" max="8702" width="61" style="95" customWidth="1"/>
    <col min="8703" max="8728" width="14.85546875" style="95" customWidth="1"/>
    <col min="8729" max="8729" width="16" style="95" customWidth="1"/>
    <col min="8730" max="8957" width="9.140625" style="95"/>
    <col min="8958" max="8958" width="61" style="95" customWidth="1"/>
    <col min="8959" max="8984" width="14.85546875" style="95" customWidth="1"/>
    <col min="8985" max="8985" width="16" style="95" customWidth="1"/>
    <col min="8986" max="9213" width="9.140625" style="95"/>
    <col min="9214" max="9214" width="61" style="95" customWidth="1"/>
    <col min="9215" max="9240" width="14.85546875" style="95" customWidth="1"/>
    <col min="9241" max="9241" width="16" style="95" customWidth="1"/>
    <col min="9242" max="9469" width="9.140625" style="95"/>
    <col min="9470" max="9470" width="61" style="95" customWidth="1"/>
    <col min="9471" max="9496" width="14.85546875" style="95" customWidth="1"/>
    <col min="9497" max="9497" width="16" style="95" customWidth="1"/>
    <col min="9498" max="9725" width="9.140625" style="95"/>
    <col min="9726" max="9726" width="61" style="95" customWidth="1"/>
    <col min="9727" max="9752" width="14.85546875" style="95" customWidth="1"/>
    <col min="9753" max="9753" width="16" style="95" customWidth="1"/>
    <col min="9754" max="9981" width="9.140625" style="95"/>
    <col min="9982" max="9982" width="61" style="95" customWidth="1"/>
    <col min="9983" max="10008" width="14.85546875" style="95" customWidth="1"/>
    <col min="10009" max="10009" width="16" style="95" customWidth="1"/>
    <col min="10010" max="10237" width="9.140625" style="95"/>
    <col min="10238" max="10238" width="61" style="95" customWidth="1"/>
    <col min="10239" max="10264" width="14.85546875" style="95" customWidth="1"/>
    <col min="10265" max="10265" width="16" style="95" customWidth="1"/>
    <col min="10266" max="10493" width="9.140625" style="95"/>
    <col min="10494" max="10494" width="61" style="95" customWidth="1"/>
    <col min="10495" max="10520" width="14.85546875" style="95" customWidth="1"/>
    <col min="10521" max="10521" width="16" style="95" customWidth="1"/>
    <col min="10522" max="10749" width="9.140625" style="95"/>
    <col min="10750" max="10750" width="61" style="95" customWidth="1"/>
    <col min="10751" max="10776" width="14.85546875" style="95" customWidth="1"/>
    <col min="10777" max="10777" width="16" style="95" customWidth="1"/>
    <col min="10778" max="11005" width="9.140625" style="95"/>
    <col min="11006" max="11006" width="61" style="95" customWidth="1"/>
    <col min="11007" max="11032" width="14.85546875" style="95" customWidth="1"/>
    <col min="11033" max="11033" width="16" style="95" customWidth="1"/>
    <col min="11034" max="11261" width="9.140625" style="95"/>
    <col min="11262" max="11262" width="61" style="95" customWidth="1"/>
    <col min="11263" max="11288" width="14.85546875" style="95" customWidth="1"/>
    <col min="11289" max="11289" width="16" style="95" customWidth="1"/>
    <col min="11290" max="11517" width="9.140625" style="95"/>
    <col min="11518" max="11518" width="61" style="95" customWidth="1"/>
    <col min="11519" max="11544" width="14.85546875" style="95" customWidth="1"/>
    <col min="11545" max="11545" width="16" style="95" customWidth="1"/>
    <col min="11546" max="11773" width="9.140625" style="95"/>
    <col min="11774" max="11774" width="61" style="95" customWidth="1"/>
    <col min="11775" max="11800" width="14.85546875" style="95" customWidth="1"/>
    <col min="11801" max="11801" width="16" style="95" customWidth="1"/>
    <col min="11802" max="12029" width="9.140625" style="95"/>
    <col min="12030" max="12030" width="61" style="95" customWidth="1"/>
    <col min="12031" max="12056" width="14.85546875" style="95" customWidth="1"/>
    <col min="12057" max="12057" width="16" style="95" customWidth="1"/>
    <col min="12058" max="12285" width="9.140625" style="95"/>
    <col min="12286" max="12286" width="61" style="95" customWidth="1"/>
    <col min="12287" max="12312" width="14.85546875" style="95" customWidth="1"/>
    <col min="12313" max="12313" width="16" style="95" customWidth="1"/>
    <col min="12314" max="12541" width="9.140625" style="95"/>
    <col min="12542" max="12542" width="61" style="95" customWidth="1"/>
    <col min="12543" max="12568" width="14.85546875" style="95" customWidth="1"/>
    <col min="12569" max="12569" width="16" style="95" customWidth="1"/>
    <col min="12570" max="12797" width="9.140625" style="95"/>
    <col min="12798" max="12798" width="61" style="95" customWidth="1"/>
    <col min="12799" max="12824" width="14.85546875" style="95" customWidth="1"/>
    <col min="12825" max="12825" width="16" style="95" customWidth="1"/>
    <col min="12826" max="13053" width="9.140625" style="95"/>
    <col min="13054" max="13054" width="61" style="95" customWidth="1"/>
    <col min="13055" max="13080" width="14.85546875" style="95" customWidth="1"/>
    <col min="13081" max="13081" width="16" style="95" customWidth="1"/>
    <col min="13082" max="13309" width="9.140625" style="95"/>
    <col min="13310" max="13310" width="61" style="95" customWidth="1"/>
    <col min="13311" max="13336" width="14.85546875" style="95" customWidth="1"/>
    <col min="13337" max="13337" width="16" style="95" customWidth="1"/>
    <col min="13338" max="13565" width="9.140625" style="95"/>
    <col min="13566" max="13566" width="61" style="95" customWidth="1"/>
    <col min="13567" max="13592" width="14.85546875" style="95" customWidth="1"/>
    <col min="13593" max="13593" width="16" style="95" customWidth="1"/>
    <col min="13594" max="13821" width="9.140625" style="95"/>
    <col min="13822" max="13822" width="61" style="95" customWidth="1"/>
    <col min="13823" max="13848" width="14.85546875" style="95" customWidth="1"/>
    <col min="13849" max="13849" width="16" style="95" customWidth="1"/>
    <col min="13850" max="14077" width="9.140625" style="95"/>
    <col min="14078" max="14078" width="61" style="95" customWidth="1"/>
    <col min="14079" max="14104" width="14.85546875" style="95" customWidth="1"/>
    <col min="14105" max="14105" width="16" style="95" customWidth="1"/>
    <col min="14106" max="14333" width="9.140625" style="95"/>
    <col min="14334" max="14334" width="61" style="95" customWidth="1"/>
    <col min="14335" max="14360" width="14.85546875" style="95" customWidth="1"/>
    <col min="14361" max="14361" width="16" style="95" customWidth="1"/>
    <col min="14362" max="14589" width="9.140625" style="95"/>
    <col min="14590" max="14590" width="61" style="95" customWidth="1"/>
    <col min="14591" max="14616" width="14.85546875" style="95" customWidth="1"/>
    <col min="14617" max="14617" width="16" style="95" customWidth="1"/>
    <col min="14618" max="14845" width="9.140625" style="95"/>
    <col min="14846" max="14846" width="61" style="95" customWidth="1"/>
    <col min="14847" max="14872" width="14.85546875" style="95" customWidth="1"/>
    <col min="14873" max="14873" width="16" style="95" customWidth="1"/>
    <col min="14874" max="15101" width="9.140625" style="95"/>
    <col min="15102" max="15102" width="61" style="95" customWidth="1"/>
    <col min="15103" max="15128" width="14.85546875" style="95" customWidth="1"/>
    <col min="15129" max="15129" width="16" style="95" customWidth="1"/>
    <col min="15130" max="15357" width="9.140625" style="95"/>
    <col min="15358" max="15358" width="61" style="95" customWidth="1"/>
    <col min="15359" max="15384" width="14.85546875" style="95" customWidth="1"/>
    <col min="15385" max="15385" width="16" style="95" customWidth="1"/>
    <col min="15386" max="15613" width="9.140625" style="95"/>
    <col min="15614" max="15614" width="61" style="95" customWidth="1"/>
    <col min="15615" max="15640" width="14.85546875" style="95" customWidth="1"/>
    <col min="15641" max="15641" width="16" style="95" customWidth="1"/>
    <col min="15642" max="15869" width="9.140625" style="95"/>
    <col min="15870" max="15870" width="61" style="95" customWidth="1"/>
    <col min="15871" max="15896" width="14.85546875" style="95" customWidth="1"/>
    <col min="15897" max="15897" width="16" style="95" customWidth="1"/>
    <col min="15898" max="16125" width="9.140625" style="95"/>
    <col min="16126" max="16126" width="61" style="95" customWidth="1"/>
    <col min="16127" max="16152" width="14.85546875" style="95" customWidth="1"/>
    <col min="16153" max="16153" width="16" style="95" customWidth="1"/>
    <col min="16154" max="16384" width="9.140625" style="95"/>
  </cols>
  <sheetData>
    <row r="1" spans="1:24" ht="36" customHeight="1" x14ac:dyDescent="0.25"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503" t="s">
        <v>18</v>
      </c>
      <c r="W1" s="503"/>
      <c r="X1" s="95"/>
    </row>
    <row r="2" spans="1:24" x14ac:dyDescent="0.25">
      <c r="A2" s="505" t="s">
        <v>19</v>
      </c>
      <c r="B2" s="505"/>
      <c r="C2" s="505"/>
      <c r="D2" s="505"/>
      <c r="E2" s="505"/>
      <c r="F2" s="505"/>
      <c r="G2" s="505"/>
      <c r="H2" s="50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 ht="41.25" customHeight="1" x14ac:dyDescent="0.25">
      <c r="A3" s="96" t="s">
        <v>20</v>
      </c>
      <c r="B3" s="97"/>
      <c r="C3" s="97"/>
      <c r="D3" s="98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504" t="s">
        <v>21</v>
      </c>
      <c r="W3" s="504"/>
      <c r="X3" s="95"/>
    </row>
    <row r="4" spans="1:24" ht="41.25" customHeight="1" x14ac:dyDescent="0.25">
      <c r="A4" s="96"/>
      <c r="B4" s="97"/>
      <c r="C4" s="97"/>
      <c r="D4" s="98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32.25" customHeight="1" x14ac:dyDescent="0.25">
      <c r="A5" s="13" t="s">
        <v>274</v>
      </c>
      <c r="B5" s="507">
        <v>176359.92</v>
      </c>
      <c r="C5" s="508"/>
      <c r="D5" s="50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ht="24.75" customHeight="1" x14ac:dyDescent="0.25">
      <c r="A6" s="506" t="s">
        <v>22</v>
      </c>
      <c r="B6" s="502" t="s">
        <v>17</v>
      </c>
      <c r="C6" s="502"/>
      <c r="D6" s="502"/>
      <c r="E6" s="502" t="s">
        <v>255</v>
      </c>
      <c r="F6" s="502"/>
      <c r="G6" s="502" t="s">
        <v>24</v>
      </c>
      <c r="H6" s="502"/>
      <c r="I6" s="502"/>
      <c r="J6" s="502" t="s">
        <v>255</v>
      </c>
      <c r="K6" s="502"/>
      <c r="L6" s="502" t="s">
        <v>24</v>
      </c>
      <c r="M6" s="502"/>
      <c r="N6" s="502"/>
      <c r="O6" s="502" t="s">
        <v>255</v>
      </c>
      <c r="P6" s="502"/>
      <c r="Q6" s="502" t="s">
        <v>24</v>
      </c>
      <c r="R6" s="502"/>
      <c r="S6" s="502"/>
      <c r="T6" s="502" t="s">
        <v>255</v>
      </c>
      <c r="U6" s="502"/>
      <c r="V6" s="502" t="s">
        <v>24</v>
      </c>
      <c r="W6" s="502"/>
      <c r="X6" s="502"/>
    </row>
    <row r="7" spans="1:24" s="100" customFormat="1" ht="30.75" customHeight="1" x14ac:dyDescent="0.2">
      <c r="A7" s="506"/>
      <c r="B7" s="92" t="s">
        <v>254</v>
      </c>
      <c r="C7" s="92" t="s">
        <v>253</v>
      </c>
      <c r="D7" s="92" t="s">
        <v>24</v>
      </c>
      <c r="E7" s="92" t="s">
        <v>271</v>
      </c>
      <c r="F7" s="92" t="s">
        <v>24</v>
      </c>
      <c r="G7" s="92" t="s">
        <v>5</v>
      </c>
      <c r="H7" s="92" t="s">
        <v>6</v>
      </c>
      <c r="I7" s="92" t="s">
        <v>7</v>
      </c>
      <c r="J7" s="92" t="s">
        <v>23</v>
      </c>
      <c r="K7" s="92" t="s">
        <v>24</v>
      </c>
      <c r="L7" s="92" t="s">
        <v>8</v>
      </c>
      <c r="M7" s="92" t="s">
        <v>9</v>
      </c>
      <c r="N7" s="92" t="s">
        <v>10</v>
      </c>
      <c r="O7" s="92" t="s">
        <v>23</v>
      </c>
      <c r="P7" s="92" t="s">
        <v>24</v>
      </c>
      <c r="Q7" s="92" t="s">
        <v>11</v>
      </c>
      <c r="R7" s="92" t="s">
        <v>12</v>
      </c>
      <c r="S7" s="92" t="s">
        <v>13</v>
      </c>
      <c r="T7" s="92" t="s">
        <v>23</v>
      </c>
      <c r="U7" s="92" t="s">
        <v>24</v>
      </c>
      <c r="V7" s="92" t="s">
        <v>14</v>
      </c>
      <c r="W7" s="92" t="s">
        <v>15</v>
      </c>
      <c r="X7" s="92" t="s">
        <v>16</v>
      </c>
    </row>
    <row r="8" spans="1:24" ht="21" customHeight="1" x14ac:dyDescent="0.25">
      <c r="A8" s="9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25.5" customHeight="1" x14ac:dyDescent="0.25">
      <c r="A9" s="101" t="s">
        <v>25</v>
      </c>
      <c r="B9" s="16">
        <f>B10+B14+B15+B16</f>
        <v>8000</v>
      </c>
      <c r="C9" s="16">
        <f>C10+C14+C15+C16</f>
        <v>0</v>
      </c>
      <c r="D9" s="16">
        <f>F9+K9+P9+U9</f>
        <v>300989.58999999997</v>
      </c>
      <c r="E9" s="16"/>
      <c r="F9" s="16">
        <f>G9+H9+I9</f>
        <v>29568.010000000002</v>
      </c>
      <c r="G9" s="16">
        <f>G10+G14+G15+G16</f>
        <v>4245.51</v>
      </c>
      <c r="H9" s="16">
        <f t="shared" ref="H9:I9" si="0">H10+H14+H15+H16</f>
        <v>4957.6000000000004</v>
      </c>
      <c r="I9" s="16">
        <f t="shared" si="0"/>
        <v>20364.900000000001</v>
      </c>
      <c r="J9" s="16"/>
      <c r="K9" s="16">
        <f>L9+M9+N9</f>
        <v>17863.47</v>
      </c>
      <c r="L9" s="16">
        <f>L10+L14+L15+L16</f>
        <v>6355.01</v>
      </c>
      <c r="M9" s="16">
        <f t="shared" ref="M9:N9" si="1">M10+M14+M15+M16</f>
        <v>7051.32</v>
      </c>
      <c r="N9" s="16">
        <f t="shared" si="1"/>
        <v>4457.1400000000003</v>
      </c>
      <c r="O9" s="16"/>
      <c r="P9" s="16">
        <f>Q9+R9+S9</f>
        <v>60197.5</v>
      </c>
      <c r="Q9" s="16">
        <f>Q10+Q14+Q15+Q16</f>
        <v>6274.19</v>
      </c>
      <c r="R9" s="16">
        <f>R10+R14+R15+R16</f>
        <v>30306.5</v>
      </c>
      <c r="S9" s="16">
        <f>S10+S14+S15+S16</f>
        <v>23616.81</v>
      </c>
      <c r="T9" s="16"/>
      <c r="U9" s="16">
        <f>V9+W9+X9</f>
        <v>193360.61</v>
      </c>
      <c r="V9" s="16">
        <f>V10+V14+V15+V16</f>
        <v>61348.719999999994</v>
      </c>
      <c r="W9" s="16">
        <f t="shared" ref="W9:X9" si="2">W10+W14+W15+W16</f>
        <v>70214.399999999994</v>
      </c>
      <c r="X9" s="16">
        <f t="shared" si="2"/>
        <v>61797.490000000005</v>
      </c>
    </row>
    <row r="10" spans="1:24" ht="25.5" customHeight="1" x14ac:dyDescent="0.25">
      <c r="A10" s="13" t="s">
        <v>26</v>
      </c>
      <c r="B10" s="92">
        <f>'დანართი 2 ცხრილი-2'!D8</f>
        <v>8000</v>
      </c>
      <c r="C10" s="92">
        <f>'დანართი 2 ცხრილი-2'!E8</f>
        <v>0</v>
      </c>
      <c r="D10" s="16">
        <f t="shared" ref="D10:D29" si="3">F10+K10+P10+U10</f>
        <v>300989.58999999997</v>
      </c>
      <c r="E10" s="92"/>
      <c r="F10" s="16">
        <f t="shared" ref="F10:F29" si="4">G10+H10+I10</f>
        <v>29568.010000000002</v>
      </c>
      <c r="G10" s="92">
        <f>'დანართი 2 ცხრილი-2'!H8</f>
        <v>4245.51</v>
      </c>
      <c r="H10" s="92">
        <f>'დანართი 2 ცხრილი-2'!I8</f>
        <v>4957.6000000000004</v>
      </c>
      <c r="I10" s="92">
        <f>'დანართი 2 ცხრილი-2'!J8</f>
        <v>20364.900000000001</v>
      </c>
      <c r="J10" s="92"/>
      <c r="K10" s="16">
        <f t="shared" ref="K10:K16" si="5">L10+M10+N10</f>
        <v>17863.47</v>
      </c>
      <c r="L10" s="92">
        <f>'დანართი 2 ცხრილი-2'!L8</f>
        <v>6355.01</v>
      </c>
      <c r="M10" s="92">
        <f>'დანართი 2 ცხრილი-2'!M8</f>
        <v>7051.32</v>
      </c>
      <c r="N10" s="92">
        <f>'დანართი 2 ცხრილი-2'!N8</f>
        <v>4457.1400000000003</v>
      </c>
      <c r="O10" s="92"/>
      <c r="P10" s="16">
        <f t="shared" ref="P10:P29" si="6">Q10+R10+S10</f>
        <v>60197.5</v>
      </c>
      <c r="Q10" s="92">
        <f>'დანართი 2 ცხრილი-2'!P8</f>
        <v>6274.19</v>
      </c>
      <c r="R10" s="92">
        <f>'დანართი 2 ცხრილი-2'!Q8</f>
        <v>30306.5</v>
      </c>
      <c r="S10" s="92">
        <f>'დანართი 2 ცხრილი-2'!R8</f>
        <v>23616.81</v>
      </c>
      <c r="T10" s="92"/>
      <c r="U10" s="16">
        <f t="shared" ref="U10:U29" si="7">V10+W10+X10</f>
        <v>193360.61</v>
      </c>
      <c r="V10" s="92">
        <f>'დანართი 2 ცხრილი-2'!T8</f>
        <v>61348.719999999994</v>
      </c>
      <c r="W10" s="92">
        <f>'დანართი 2 ცხრილი-2'!U8</f>
        <v>70214.399999999994</v>
      </c>
      <c r="X10" s="92">
        <f>'დანართი 2 ცხრილი-2'!V8</f>
        <v>61797.490000000005</v>
      </c>
    </row>
    <row r="11" spans="1:24" ht="25.5" customHeight="1" x14ac:dyDescent="0.25">
      <c r="A11" s="14" t="s">
        <v>27</v>
      </c>
      <c r="B11" s="15">
        <f>'დანართი 2 ცხრილი-2'!D9</f>
        <v>8000</v>
      </c>
      <c r="C11" s="15">
        <f>'დანართი 2 ცხრილი-2'!E9</f>
        <v>0</v>
      </c>
      <c r="D11" s="16">
        <f t="shared" si="3"/>
        <v>300989.58999999997</v>
      </c>
      <c r="E11" s="15"/>
      <c r="F11" s="16">
        <f t="shared" si="4"/>
        <v>29568.010000000002</v>
      </c>
      <c r="G11" s="15">
        <f>'დანართი 2 ცხრილი-2'!H9</f>
        <v>4245.51</v>
      </c>
      <c r="H11" s="15">
        <f>'დანართი 2 ცხრილი-2'!I9</f>
        <v>4957.6000000000004</v>
      </c>
      <c r="I11" s="15">
        <f>'დანართი 2 ცხრილი-2'!J9</f>
        <v>20364.900000000001</v>
      </c>
      <c r="J11" s="15"/>
      <c r="K11" s="16">
        <f t="shared" si="5"/>
        <v>17863.47</v>
      </c>
      <c r="L11" s="15">
        <f>'დანართი 2 ცხრილი-2'!L9</f>
        <v>6355.01</v>
      </c>
      <c r="M11" s="15">
        <f>'დანართი 2 ცხრილი-2'!M9</f>
        <v>7051.32</v>
      </c>
      <c r="N11" s="15">
        <f>'დანართი 2 ცხრილი-2'!N9</f>
        <v>4457.1400000000003</v>
      </c>
      <c r="O11" s="15"/>
      <c r="P11" s="16">
        <f t="shared" si="6"/>
        <v>60197.5</v>
      </c>
      <c r="Q11" s="15">
        <f>'დანართი 2 ცხრილი-2'!P9</f>
        <v>6274.19</v>
      </c>
      <c r="R11" s="15">
        <f>'დანართი 2 ცხრილი-2'!Q9</f>
        <v>30306.5</v>
      </c>
      <c r="S11" s="15">
        <f>'დანართი 2 ცხრილი-2'!R9</f>
        <v>23616.81</v>
      </c>
      <c r="T11" s="15"/>
      <c r="U11" s="16">
        <f t="shared" si="7"/>
        <v>193360.61</v>
      </c>
      <c r="V11" s="15">
        <f>'დანართი 2 ცხრილი-2'!T9</f>
        <v>61348.719999999994</v>
      </c>
      <c r="W11" s="15">
        <f>'დანართი 2 ცხრილი-2'!U9</f>
        <v>70214.399999999994</v>
      </c>
      <c r="X11" s="15">
        <f>'დანართი 2 ცხრილი-2'!V9</f>
        <v>61797.490000000005</v>
      </c>
    </row>
    <row r="12" spans="1:24" ht="25.5" customHeight="1" x14ac:dyDescent="0.25">
      <c r="A12" s="14" t="s">
        <v>282</v>
      </c>
      <c r="B12" s="15">
        <f>'დანართი 2 ცხრილი-2'!D20</f>
        <v>0</v>
      </c>
      <c r="C12" s="15">
        <f>'დანართი 2 ცხრილი-2'!E20</f>
        <v>0</v>
      </c>
      <c r="D12" s="16">
        <f t="shared" si="3"/>
        <v>0</v>
      </c>
      <c r="E12" s="15"/>
      <c r="F12" s="16">
        <f t="shared" si="4"/>
        <v>0</v>
      </c>
      <c r="G12" s="15">
        <f>'დანართი 2 ცხრილი-2'!H20</f>
        <v>0</v>
      </c>
      <c r="H12" s="15">
        <f>'დანართი 2 ცხრილი-2'!I20</f>
        <v>0</v>
      </c>
      <c r="I12" s="15">
        <f>'დანართი 2 ცხრილი-2'!J20</f>
        <v>0</v>
      </c>
      <c r="J12" s="15"/>
      <c r="K12" s="16">
        <f t="shared" si="5"/>
        <v>0</v>
      </c>
      <c r="L12" s="15">
        <f>'დანართი 2 ცხრილი-2'!L20</f>
        <v>0</v>
      </c>
      <c r="M12" s="15">
        <f>'დანართი 2 ცხრილი-2'!M20</f>
        <v>0</v>
      </c>
      <c r="N12" s="15">
        <f>'დანართი 2 ცხრილი-2'!N20</f>
        <v>0</v>
      </c>
      <c r="O12" s="15"/>
      <c r="P12" s="16">
        <f t="shared" si="6"/>
        <v>0</v>
      </c>
      <c r="Q12" s="15">
        <f>'დანართი 2 ცხრილი-2'!P20</f>
        <v>0</v>
      </c>
      <c r="R12" s="15">
        <f>'დანართი 2 ცხრილი-2'!Q20</f>
        <v>0</v>
      </c>
      <c r="S12" s="15">
        <f>'დანართი 2 ცხრილი-2'!R20</f>
        <v>0</v>
      </c>
      <c r="T12" s="15"/>
      <c r="U12" s="16">
        <f t="shared" si="7"/>
        <v>0</v>
      </c>
      <c r="V12" s="15">
        <f>'დანართი 2 ცხრილი-2'!T20</f>
        <v>0</v>
      </c>
      <c r="W12" s="15">
        <f>'დანართი 2 ცხრილი-2'!U20</f>
        <v>0</v>
      </c>
      <c r="X12" s="15">
        <f>'დანართი 2 ცხრილი-2'!V20</f>
        <v>0</v>
      </c>
    </row>
    <row r="13" spans="1:24" ht="25.5" customHeight="1" x14ac:dyDescent="0.25">
      <c r="A13" s="14" t="s">
        <v>29</v>
      </c>
      <c r="B13" s="15">
        <f>'დანართი 2 ცხრილი-2'!D31</f>
        <v>0</v>
      </c>
      <c r="C13" s="15">
        <f>'დანართი 2 ცხრილი-2'!E31</f>
        <v>0</v>
      </c>
      <c r="D13" s="16">
        <f t="shared" si="3"/>
        <v>0</v>
      </c>
      <c r="E13" s="15"/>
      <c r="F13" s="16">
        <f t="shared" si="4"/>
        <v>0</v>
      </c>
      <c r="G13" s="15">
        <f>'დანართი 2 ცხრილი-2'!H31</f>
        <v>0</v>
      </c>
      <c r="H13" s="15">
        <f>'დანართი 2 ცხრილი-2'!I31</f>
        <v>0</v>
      </c>
      <c r="I13" s="15">
        <f>'დანართი 2 ცხრილი-2'!J31</f>
        <v>0</v>
      </c>
      <c r="J13" s="15"/>
      <c r="K13" s="16">
        <f t="shared" si="5"/>
        <v>0</v>
      </c>
      <c r="L13" s="15">
        <f>'დანართი 2 ცხრილი-2'!L31</f>
        <v>0</v>
      </c>
      <c r="M13" s="15">
        <f>'დანართი 2 ცხრილი-2'!M31</f>
        <v>0</v>
      </c>
      <c r="N13" s="15">
        <f>'დანართი 2 ცხრილი-2'!N31</f>
        <v>0</v>
      </c>
      <c r="O13" s="15"/>
      <c r="P13" s="16">
        <f t="shared" si="6"/>
        <v>0</v>
      </c>
      <c r="Q13" s="15">
        <f>'დანართი 2 ცხრილი-2'!P31</f>
        <v>0</v>
      </c>
      <c r="R13" s="15">
        <f>'დანართი 2 ცხრილი-2'!Q31</f>
        <v>0</v>
      </c>
      <c r="S13" s="15">
        <f>'დანართი 2 ცხრილი-2'!R31</f>
        <v>0</v>
      </c>
      <c r="T13" s="15"/>
      <c r="U13" s="16">
        <f t="shared" si="7"/>
        <v>0</v>
      </c>
      <c r="V13" s="15">
        <f>'დანართი 2 ცხრილი-2'!T31</f>
        <v>0</v>
      </c>
      <c r="W13" s="15">
        <f>'დანართი 2 ცხრილი-2'!U31</f>
        <v>0</v>
      </c>
      <c r="X13" s="15">
        <f>'დანართი 2 ცხრილი-2'!V31</f>
        <v>0</v>
      </c>
    </row>
    <row r="14" spans="1:24" ht="25.5" customHeight="1" x14ac:dyDescent="0.25">
      <c r="A14" s="13" t="s">
        <v>30</v>
      </c>
      <c r="B14" s="92">
        <f>'დანართი 2 ცხრილი-2'!D42</f>
        <v>0</v>
      </c>
      <c r="C14" s="92">
        <f>'დანართი 2 ცხრილი-2'!E42</f>
        <v>0</v>
      </c>
      <c r="D14" s="16">
        <f t="shared" si="3"/>
        <v>0</v>
      </c>
      <c r="F14" s="16">
        <f t="shared" si="4"/>
        <v>0</v>
      </c>
      <c r="G14" s="92">
        <f>'დანართი 2 ცხრილი-2'!H42</f>
        <v>0</v>
      </c>
      <c r="H14" s="92">
        <f>'დანართი 2 ცხრილი-2'!I42</f>
        <v>0</v>
      </c>
      <c r="I14" s="92">
        <f>'დანართი 2 ცხრილი-2'!J42</f>
        <v>0</v>
      </c>
      <c r="J14" s="92"/>
      <c r="K14" s="16">
        <f t="shared" si="5"/>
        <v>0</v>
      </c>
      <c r="L14" s="92">
        <f>'დანართი 2 ცხრილი-2'!L42</f>
        <v>0</v>
      </c>
      <c r="M14" s="92">
        <f>'დანართი 2 ცხრილი-2'!M42</f>
        <v>0</v>
      </c>
      <c r="N14" s="92">
        <f>'დანართი 2 ცხრილი-2'!N42</f>
        <v>0</v>
      </c>
      <c r="O14" s="92"/>
      <c r="P14" s="16">
        <f t="shared" si="6"/>
        <v>0</v>
      </c>
      <c r="Q14" s="92">
        <f>'დანართი 2 ცხრილი-2'!P42</f>
        <v>0</v>
      </c>
      <c r="R14" s="92">
        <f>'დანართი 2 ცხრილი-2'!Q42</f>
        <v>0</v>
      </c>
      <c r="S14" s="92">
        <f>'დანართი 2 ცხრილი-2'!R42</f>
        <v>0</v>
      </c>
      <c r="T14" s="92"/>
      <c r="U14" s="16">
        <f t="shared" si="7"/>
        <v>0</v>
      </c>
      <c r="V14" s="92">
        <f>'დანართი 2 ცხრილი-2'!T42</f>
        <v>0</v>
      </c>
      <c r="W14" s="92">
        <f>'დანართი 2 ცხრილი-2'!U42</f>
        <v>0</v>
      </c>
      <c r="X14" s="92">
        <f>'დანართი 2 ცხრილი-2'!V42</f>
        <v>0</v>
      </c>
    </row>
    <row r="15" spans="1:24" ht="25.5" customHeight="1" x14ac:dyDescent="0.25">
      <c r="A15" s="13" t="s">
        <v>31</v>
      </c>
      <c r="B15" s="92">
        <f>'დანართი 2 ცხრილი-2'!D53</f>
        <v>0</v>
      </c>
      <c r="C15" s="92">
        <f>'დანართი 2 ცხრილი-2'!E53</f>
        <v>0</v>
      </c>
      <c r="D15" s="16">
        <f t="shared" si="3"/>
        <v>0</v>
      </c>
      <c r="E15" s="92"/>
      <c r="F15" s="16">
        <f t="shared" si="4"/>
        <v>0</v>
      </c>
      <c r="G15" s="92">
        <f>'დანართი 2 ცხრილი-2'!H53</f>
        <v>0</v>
      </c>
      <c r="H15" s="92">
        <f>'დანართი 2 ცხრილი-2'!I53</f>
        <v>0</v>
      </c>
      <c r="I15" s="92">
        <f>'დანართი 2 ცხრილი-2'!J53</f>
        <v>0</v>
      </c>
      <c r="J15" s="92"/>
      <c r="K15" s="16">
        <f t="shared" si="5"/>
        <v>0</v>
      </c>
      <c r="L15" s="92">
        <f>'დანართი 2 ცხრილი-2'!L53</f>
        <v>0</v>
      </c>
      <c r="M15" s="92">
        <f>'დანართი 2 ცხრილი-2'!M53</f>
        <v>0</v>
      </c>
      <c r="N15" s="92">
        <f>'დანართი 2 ცხრილი-2'!N53</f>
        <v>0</v>
      </c>
      <c r="O15" s="92"/>
      <c r="P15" s="16">
        <f t="shared" si="6"/>
        <v>0</v>
      </c>
      <c r="Q15" s="92">
        <f>'დანართი 2 ცხრილი-2'!P53</f>
        <v>0</v>
      </c>
      <c r="R15" s="92">
        <f>'დანართი 2 ცხრილი-2'!Q53</f>
        <v>0</v>
      </c>
      <c r="S15" s="92">
        <f>'დანართი 2 ცხრილი-2'!R53</f>
        <v>0</v>
      </c>
      <c r="T15" s="92"/>
      <c r="U15" s="16">
        <f t="shared" si="7"/>
        <v>0</v>
      </c>
      <c r="V15" s="92">
        <f>'დანართი 2 ცხრილი-2'!T53</f>
        <v>0</v>
      </c>
      <c r="W15" s="92">
        <f>'დანართი 2 ცხრილი-2'!U53</f>
        <v>0</v>
      </c>
      <c r="X15" s="92">
        <f>'დანართი 2 ცხრილი-2'!V53</f>
        <v>0</v>
      </c>
    </row>
    <row r="16" spans="1:24" ht="25.5" customHeight="1" x14ac:dyDescent="0.25">
      <c r="A16" s="13" t="s">
        <v>32</v>
      </c>
      <c r="B16" s="92">
        <f>'დანართი 2 ცხრილი-2'!D64</f>
        <v>0</v>
      </c>
      <c r="C16" s="92">
        <f>'დანართი 2 ცხრილი-2'!E64</f>
        <v>0</v>
      </c>
      <c r="D16" s="16">
        <f t="shared" si="3"/>
        <v>0</v>
      </c>
      <c r="E16" s="92"/>
      <c r="F16" s="16">
        <f t="shared" si="4"/>
        <v>0</v>
      </c>
      <c r="G16" s="92">
        <f>'დანართი 2 ცხრილი-2'!H64</f>
        <v>0</v>
      </c>
      <c r="H16" s="92">
        <f>'დანართი 2 ცხრილი-2'!I64</f>
        <v>0</v>
      </c>
      <c r="I16" s="92">
        <f>'დანართი 2 ცხრილი-2'!J64</f>
        <v>0</v>
      </c>
      <c r="J16" s="92"/>
      <c r="K16" s="16">
        <f t="shared" si="5"/>
        <v>0</v>
      </c>
      <c r="L16" s="92">
        <f>'დანართი 2 ცხრილი-2'!L64</f>
        <v>0</v>
      </c>
      <c r="M16" s="92">
        <f>'დანართი 2 ცხრილი-2'!M64</f>
        <v>0</v>
      </c>
      <c r="N16" s="92">
        <f>'დანართი 2 ცხრილი-2'!N64</f>
        <v>0</v>
      </c>
      <c r="O16" s="92"/>
      <c r="P16" s="16">
        <f t="shared" si="6"/>
        <v>0</v>
      </c>
      <c r="Q16" s="92">
        <f>'დანართი 2 ცხრილი-2'!P64</f>
        <v>0</v>
      </c>
      <c r="R16" s="92">
        <f>'დანართი 2 ცხრილი-2'!Q64</f>
        <v>0</v>
      </c>
      <c r="S16" s="92">
        <f>'დანართი 2 ცხრილი-2'!R64</f>
        <v>0</v>
      </c>
      <c r="T16" s="92"/>
      <c r="U16" s="16">
        <f t="shared" si="7"/>
        <v>0</v>
      </c>
      <c r="V16" s="92">
        <f>'დანართი 2 ცხრილი-2'!T64</f>
        <v>0</v>
      </c>
      <c r="W16" s="92">
        <f>'დანართი 2 ცხრილი-2'!U64</f>
        <v>0</v>
      </c>
      <c r="X16" s="92">
        <f>'დანართი 2 ცხრილი-2'!V64</f>
        <v>0</v>
      </c>
    </row>
    <row r="17" spans="1:24" ht="25.5" customHeight="1" x14ac:dyDescent="0.25">
      <c r="A17" s="90"/>
      <c r="B17" s="12"/>
      <c r="C17" s="16"/>
      <c r="D17" s="16"/>
      <c r="E17" s="12"/>
      <c r="F17" s="16"/>
      <c r="G17" s="12"/>
      <c r="H17" s="12"/>
      <c r="I17" s="12"/>
      <c r="J17" s="12"/>
      <c r="K17" s="16"/>
      <c r="L17" s="12"/>
      <c r="M17" s="12"/>
      <c r="N17" s="12"/>
      <c r="O17" s="12"/>
      <c r="P17" s="16"/>
      <c r="Q17" s="12"/>
      <c r="R17" s="12"/>
      <c r="S17" s="12"/>
      <c r="T17" s="12"/>
      <c r="U17" s="16"/>
      <c r="V17" s="12"/>
      <c r="W17" s="12"/>
      <c r="X17" s="12"/>
    </row>
    <row r="18" spans="1:24" ht="25.5" customHeight="1" x14ac:dyDescent="0.25">
      <c r="A18" s="101" t="s">
        <v>33</v>
      </c>
      <c r="B18" s="16">
        <f>B19+B27+B28+B29+B30</f>
        <v>8000</v>
      </c>
      <c r="C18" s="16">
        <f>E18+J18+O18+T18</f>
        <v>0</v>
      </c>
      <c r="D18" s="16">
        <f t="shared" si="3"/>
        <v>21400.58</v>
      </c>
      <c r="E18" s="16">
        <f>E19+E27+E28+E29+E30</f>
        <v>0</v>
      </c>
      <c r="F18" s="16">
        <f>G18+H18+I18</f>
        <v>0</v>
      </c>
      <c r="G18" s="16">
        <f>G19+G27+G28+G29+G30</f>
        <v>0</v>
      </c>
      <c r="H18" s="16">
        <f>H19+H27+H28+H29+H30</f>
        <v>0</v>
      </c>
      <c r="I18" s="16">
        <f t="shared" ref="I18" si="8">I19+I27+I28+I29+I30</f>
        <v>0</v>
      </c>
      <c r="J18" s="16">
        <f>J19+J27+J28+J29+J30</f>
        <v>0</v>
      </c>
      <c r="K18" s="16">
        <f>L18+M18+N18</f>
        <v>0</v>
      </c>
      <c r="L18" s="16">
        <f>L19+L27+L28+L29+L30</f>
        <v>0</v>
      </c>
      <c r="M18" s="16">
        <f t="shared" ref="M18:N18" si="9">M19+M27+M28+M29+M30</f>
        <v>0</v>
      </c>
      <c r="N18" s="16">
        <f t="shared" si="9"/>
        <v>0</v>
      </c>
      <c r="O18" s="16">
        <f>O19+O27+O28+O29+O30</f>
        <v>0</v>
      </c>
      <c r="P18" s="16">
        <f t="shared" si="6"/>
        <v>0</v>
      </c>
      <c r="Q18" s="16">
        <f>Q19+Q27+Q28+Q29+Q30</f>
        <v>0</v>
      </c>
      <c r="R18" s="16">
        <f t="shared" ref="R18:S18" si="10">R19+R27+R28+R29+R30</f>
        <v>0</v>
      </c>
      <c r="S18" s="16">
        <f t="shared" si="10"/>
        <v>0</v>
      </c>
      <c r="T18" s="16">
        <f>T19+T27+T28+T29+T30</f>
        <v>0</v>
      </c>
      <c r="U18" s="16">
        <f t="shared" si="7"/>
        <v>21400.58</v>
      </c>
      <c r="V18" s="16">
        <f>V19+V27+V28+V29+V30</f>
        <v>0</v>
      </c>
      <c r="W18" s="16">
        <f t="shared" ref="W18:X18" si="11">W19+W27+W28+W29+W30</f>
        <v>3704</v>
      </c>
      <c r="X18" s="16">
        <f t="shared" si="11"/>
        <v>17696.580000000002</v>
      </c>
    </row>
    <row r="19" spans="1:24" ht="25.5" customHeight="1" x14ac:dyDescent="0.25">
      <c r="A19" s="13" t="s">
        <v>34</v>
      </c>
      <c r="B19" s="92">
        <f>'დანართი 2 ცხრილი-3'!D10</f>
        <v>8000</v>
      </c>
      <c r="C19" s="16">
        <f t="shared" ref="C19:C29" si="12">E19+J19+O19+T19</f>
        <v>0</v>
      </c>
      <c r="D19" s="16">
        <f t="shared" si="3"/>
        <v>21400.58</v>
      </c>
      <c r="E19" s="92">
        <f>'დანართი 2 ცხრილი-3'!G10</f>
        <v>0</v>
      </c>
      <c r="F19" s="16">
        <f t="shared" si="4"/>
        <v>0</v>
      </c>
      <c r="G19" s="92">
        <f>'დანართი 2 ცხრილი-3'!I10</f>
        <v>0</v>
      </c>
      <c r="H19" s="92">
        <f>'დანართი 2 ცხრილი-3'!J10</f>
        <v>0</v>
      </c>
      <c r="I19" s="92">
        <f>'დანართი 2 ცხრილი-3'!K10</f>
        <v>0</v>
      </c>
      <c r="J19" s="92">
        <f>'დანართი 2 ცხრილი-3'!L10</f>
        <v>0</v>
      </c>
      <c r="K19" s="16">
        <f t="shared" ref="K19:K29" si="13">L19+M19+N19</f>
        <v>0</v>
      </c>
      <c r="L19" s="92">
        <f>'დანართი 2 ცხრილი-3'!N10</f>
        <v>0</v>
      </c>
      <c r="M19" s="92">
        <f>'დანართი 2 ცხრილი-3'!O10</f>
        <v>0</v>
      </c>
      <c r="N19" s="92">
        <f>'დანართი 2 ცხრილი-3'!P10</f>
        <v>0</v>
      </c>
      <c r="O19" s="92">
        <f>'დანართი 2 ცხრილი-3'!Q10</f>
        <v>0</v>
      </c>
      <c r="P19" s="16">
        <f t="shared" si="6"/>
        <v>0</v>
      </c>
      <c r="Q19" s="92">
        <f>'დანართი 2 ცხრილი-3'!S10</f>
        <v>0</v>
      </c>
      <c r="R19" s="92">
        <f>'დანართი 2 ცხრილი-3'!T10</f>
        <v>0</v>
      </c>
      <c r="S19" s="92">
        <f>'დანართი 2 ცხრილი-3'!U10</f>
        <v>0</v>
      </c>
      <c r="T19" s="92">
        <f>'დანართი 2 ცხრილი-3'!V10</f>
        <v>0</v>
      </c>
      <c r="U19" s="16">
        <f t="shared" si="7"/>
        <v>21400.58</v>
      </c>
      <c r="V19" s="92">
        <f>'დანართი 2 ცხრილი-3'!X10</f>
        <v>0</v>
      </c>
      <c r="W19" s="92">
        <f>'დანართი 2 ცხრილი-3'!Y10</f>
        <v>3704</v>
      </c>
      <c r="X19" s="92">
        <f>'დანართი 2 ცხრილი-3'!Z10</f>
        <v>17696.580000000002</v>
      </c>
    </row>
    <row r="20" spans="1:24" ht="25.5" customHeight="1" x14ac:dyDescent="0.25">
      <c r="A20" s="14" t="s">
        <v>35</v>
      </c>
      <c r="B20" s="15">
        <f>'დანართი 2 ცხრილი-3'!D11</f>
        <v>0</v>
      </c>
      <c r="C20" s="16">
        <f t="shared" si="12"/>
        <v>0</v>
      </c>
      <c r="D20" s="16">
        <f t="shared" si="3"/>
        <v>8000</v>
      </c>
      <c r="E20" s="15">
        <f>'დანართი 2 ცხრილი-3'!G11</f>
        <v>0</v>
      </c>
      <c r="F20" s="16">
        <f t="shared" si="4"/>
        <v>0</v>
      </c>
      <c r="G20" s="15">
        <f>'დანართი 2 ცხრილი-3'!I22</f>
        <v>0</v>
      </c>
      <c r="H20" s="15">
        <f>'დანართი 2 ცხრილი-3'!J11</f>
        <v>0</v>
      </c>
      <c r="I20" s="15">
        <f>'დანართი 2 ცხრილი-3'!K22</f>
        <v>0</v>
      </c>
      <c r="J20" s="15">
        <f>'დანართი 2 ცხრილი-3'!L11</f>
        <v>0</v>
      </c>
      <c r="K20" s="16">
        <f t="shared" si="13"/>
        <v>0</v>
      </c>
      <c r="L20" s="15">
        <f>'დანართი 2 ცხრილი-3'!N11</f>
        <v>0</v>
      </c>
      <c r="M20" s="15">
        <f>'დანართი 2 ცხრილი-3'!O11</f>
        <v>0</v>
      </c>
      <c r="N20" s="15">
        <f>'დანართი 2 ცხრილი-3'!P11</f>
        <v>0</v>
      </c>
      <c r="O20" s="15">
        <f>'დანართი 2 ცხრილი-3'!Q11</f>
        <v>0</v>
      </c>
      <c r="P20" s="16">
        <f t="shared" si="6"/>
        <v>0</v>
      </c>
      <c r="Q20" s="15">
        <f>'დანართი 2 ცხრილი-3'!S11</f>
        <v>0</v>
      </c>
      <c r="R20" s="15">
        <f>'დანართი 2 ცხრილი-3'!T11</f>
        <v>0</v>
      </c>
      <c r="S20" s="15">
        <f>'დანართი 2 ცხრილი-3'!U11</f>
        <v>0</v>
      </c>
      <c r="T20" s="15">
        <f>'დანართი 2 ცხრილი-3'!V11</f>
        <v>0</v>
      </c>
      <c r="U20" s="16">
        <f t="shared" si="7"/>
        <v>8000</v>
      </c>
      <c r="V20" s="15">
        <f>'დანართი 2 ცხრილი-3'!X11</f>
        <v>0</v>
      </c>
      <c r="W20" s="15">
        <f>'დანართი 2 ცხრილი-3'!Y11</f>
        <v>0</v>
      </c>
      <c r="X20" s="15">
        <f>'დანართი 2 ცხრილი-3'!Z11</f>
        <v>8000</v>
      </c>
    </row>
    <row r="21" spans="1:24" ht="25.5" customHeight="1" x14ac:dyDescent="0.25">
      <c r="A21" s="14" t="s">
        <v>36</v>
      </c>
      <c r="B21" s="15">
        <f>'დანართი 2 ცხრილი-3'!D22</f>
        <v>8000</v>
      </c>
      <c r="C21" s="16">
        <f t="shared" si="12"/>
        <v>0</v>
      </c>
      <c r="D21" s="16">
        <f t="shared" si="3"/>
        <v>9530.18</v>
      </c>
      <c r="E21" s="15">
        <f>'დანართი 2 ცხრილი-3'!G22</f>
        <v>0</v>
      </c>
      <c r="F21" s="16">
        <f t="shared" si="4"/>
        <v>0</v>
      </c>
      <c r="G21" s="15">
        <f>'დანართი 2 ცხრილი-3'!I22</f>
        <v>0</v>
      </c>
      <c r="H21" s="15">
        <f>'დანართი 2 ცხრილი-3'!J22</f>
        <v>0</v>
      </c>
      <c r="I21" s="15">
        <f>'დანართი 2 ცხრილი-3'!K22</f>
        <v>0</v>
      </c>
      <c r="J21" s="15">
        <f>'დანართი 2 ცხრილი-3'!L22</f>
        <v>0</v>
      </c>
      <c r="K21" s="16">
        <f t="shared" si="13"/>
        <v>0</v>
      </c>
      <c r="L21" s="15">
        <f>'დანართი 2 ცხრილი-3'!N22</f>
        <v>0</v>
      </c>
      <c r="M21" s="15">
        <f>'დანართი 2 ცხრილი-3'!O22</f>
        <v>0</v>
      </c>
      <c r="N21" s="15">
        <f>'დანართი 2 ცხრილი-3'!P22</f>
        <v>0</v>
      </c>
      <c r="O21" s="15">
        <f>'დანართი 2 ცხრილი-3'!Q22</f>
        <v>0</v>
      </c>
      <c r="P21" s="16">
        <f t="shared" si="6"/>
        <v>0</v>
      </c>
      <c r="Q21" s="15">
        <f>'დანართი 2 ცხრილი-3'!S22</f>
        <v>0</v>
      </c>
      <c r="R21" s="15">
        <f>'დანართი 2 ცხრილი-3'!T22</f>
        <v>0</v>
      </c>
      <c r="S21" s="15">
        <f>'დანართი 2 ცხრილი-3'!U22</f>
        <v>0</v>
      </c>
      <c r="T21" s="15">
        <f>'დანართი 2 ცხრილი-3'!V22</f>
        <v>0</v>
      </c>
      <c r="U21" s="16">
        <f t="shared" si="7"/>
        <v>9530.18</v>
      </c>
      <c r="V21" s="15">
        <f>'დანართი 2 ცხრილი-3'!X22</f>
        <v>0</v>
      </c>
      <c r="W21" s="15">
        <f>'დანართი 2 ცხრილი-3'!Y22</f>
        <v>2760</v>
      </c>
      <c r="X21" s="15">
        <f>'დანართი 2 ცხრილი-3'!Z22</f>
        <v>6770.18</v>
      </c>
    </row>
    <row r="22" spans="1:24" ht="25.5" customHeight="1" x14ac:dyDescent="0.25">
      <c r="A22" s="14" t="s">
        <v>37</v>
      </c>
      <c r="B22" s="15">
        <f>'დანართი 2 ცხრილი-3'!D90</f>
        <v>0</v>
      </c>
      <c r="C22" s="16">
        <f t="shared" si="12"/>
        <v>0</v>
      </c>
      <c r="D22" s="16">
        <f t="shared" si="3"/>
        <v>0</v>
      </c>
      <c r="E22" s="15">
        <f>'დანართი 2 ცხრილი-3'!G90</f>
        <v>0</v>
      </c>
      <c r="F22" s="16">
        <f t="shared" si="4"/>
        <v>0</v>
      </c>
      <c r="G22" s="15">
        <f>'დანართი 2 ცხრილი-3'!I90</f>
        <v>0</v>
      </c>
      <c r="H22" s="15">
        <f>'დანართი 2 ცხრილი-3'!J90</f>
        <v>0</v>
      </c>
      <c r="I22" s="15">
        <f>'დანართი 2 ცხრილი-3'!K90</f>
        <v>0</v>
      </c>
      <c r="J22" s="15">
        <f>'დანართი 2 ცხრილი-3'!L90</f>
        <v>0</v>
      </c>
      <c r="K22" s="16">
        <f t="shared" si="13"/>
        <v>0</v>
      </c>
      <c r="L22" s="15">
        <f>'დანართი 2 ცხრილი-3'!N90</f>
        <v>0</v>
      </c>
      <c r="M22" s="15">
        <f>'დანართი 2 ცხრილი-3'!O90</f>
        <v>0</v>
      </c>
      <c r="N22" s="15">
        <f>'დანართი 2 ცხრილი-3'!P90</f>
        <v>0</v>
      </c>
      <c r="O22" s="15">
        <f>'დანართი 2 ცხრილი-3'!Q90</f>
        <v>0</v>
      </c>
      <c r="P22" s="16">
        <f t="shared" si="6"/>
        <v>0</v>
      </c>
      <c r="Q22" s="15">
        <f>'დანართი 2 ცხრილი-3'!S90</f>
        <v>0</v>
      </c>
      <c r="R22" s="15">
        <f>'დანართი 2 ცხრილი-3'!T90</f>
        <v>0</v>
      </c>
      <c r="S22" s="15">
        <f>'დანართი 2 ცხრილი-3'!U90</f>
        <v>0</v>
      </c>
      <c r="T22" s="15">
        <f>'დანართი 2 ცხრილი-3'!V90</f>
        <v>0</v>
      </c>
      <c r="U22" s="16">
        <f t="shared" si="7"/>
        <v>0</v>
      </c>
      <c r="V22" s="15">
        <f>'დანართი 2 ცხრილი-3'!X90</f>
        <v>0</v>
      </c>
      <c r="W22" s="15">
        <f>'დანართი 2 ცხრილი-3'!Y90</f>
        <v>0</v>
      </c>
      <c r="X22" s="15">
        <f>'დანართი 2 ცხრილი-3'!Z90</f>
        <v>0</v>
      </c>
    </row>
    <row r="23" spans="1:24" ht="25.5" customHeight="1" x14ac:dyDescent="0.25">
      <c r="A23" s="14" t="s">
        <v>38</v>
      </c>
      <c r="B23" s="15"/>
      <c r="C23" s="16">
        <f t="shared" si="12"/>
        <v>0</v>
      </c>
      <c r="D23" s="16">
        <f t="shared" si="3"/>
        <v>0</v>
      </c>
      <c r="E23" s="15"/>
      <c r="F23" s="16">
        <f t="shared" si="4"/>
        <v>0</v>
      </c>
      <c r="G23" s="15"/>
      <c r="H23" s="15"/>
      <c r="I23" s="15"/>
      <c r="J23" s="15"/>
      <c r="K23" s="16">
        <f t="shared" si="13"/>
        <v>0</v>
      </c>
      <c r="L23" s="15"/>
      <c r="M23" s="15"/>
      <c r="N23" s="15"/>
      <c r="O23" s="15"/>
      <c r="P23" s="16">
        <f t="shared" si="6"/>
        <v>0</v>
      </c>
      <c r="Q23" s="15"/>
      <c r="R23" s="15"/>
      <c r="S23" s="15"/>
      <c r="T23" s="15"/>
      <c r="U23" s="16">
        <f t="shared" si="7"/>
        <v>0</v>
      </c>
      <c r="V23" s="15"/>
      <c r="W23" s="15"/>
      <c r="X23" s="15"/>
    </row>
    <row r="24" spans="1:24" ht="25.5" customHeight="1" x14ac:dyDescent="0.25">
      <c r="A24" s="14" t="s">
        <v>28</v>
      </c>
      <c r="B24" s="15">
        <f>'დანართი 2 ცხრილი-3'!D99</f>
        <v>0</v>
      </c>
      <c r="C24" s="16">
        <f t="shared" si="12"/>
        <v>0</v>
      </c>
      <c r="D24" s="16">
        <f t="shared" si="3"/>
        <v>0</v>
      </c>
      <c r="E24" s="15">
        <f>'დანართი 2 ცხრილი-3'!G99</f>
        <v>0</v>
      </c>
      <c r="F24" s="16">
        <f t="shared" si="4"/>
        <v>0</v>
      </c>
      <c r="G24" s="15">
        <f>'დანართი 2 ცხრილი-3'!I99</f>
        <v>0</v>
      </c>
      <c r="H24" s="15">
        <f>'დანართი 2 ცხრილი-3'!J99</f>
        <v>0</v>
      </c>
      <c r="I24" s="15">
        <f>'დანართი 2 ცხრილი-3'!K99</f>
        <v>0</v>
      </c>
      <c r="J24" s="15">
        <f>'დანართი 2 ცხრილი-3'!L99</f>
        <v>0</v>
      </c>
      <c r="K24" s="16">
        <f t="shared" si="13"/>
        <v>0</v>
      </c>
      <c r="L24" s="15">
        <f>'დანართი 2 ცხრილი-3'!N99</f>
        <v>0</v>
      </c>
      <c r="M24" s="15">
        <f>'დანართი 2 ცხრილი-3'!O99</f>
        <v>0</v>
      </c>
      <c r="N24" s="15">
        <f>'დანართი 2 ცხრილი-3'!P99</f>
        <v>0</v>
      </c>
      <c r="O24" s="15">
        <f>'დანართი 2 ცხრილი-3'!Q99</f>
        <v>0</v>
      </c>
      <c r="P24" s="16">
        <f t="shared" si="6"/>
        <v>0</v>
      </c>
      <c r="Q24" s="15">
        <f>'დანართი 2 ცხრილი-3'!S99</f>
        <v>0</v>
      </c>
      <c r="R24" s="15">
        <f>'დანართი 2 ცხრილი-3'!T99</f>
        <v>0</v>
      </c>
      <c r="S24" s="15">
        <f>'დანართი 2 ცხრილი-3'!U99</f>
        <v>0</v>
      </c>
      <c r="T24" s="15">
        <f>'დანართი 2 ცხრილი-3'!V99</f>
        <v>0</v>
      </c>
      <c r="U24" s="16">
        <f t="shared" si="7"/>
        <v>0</v>
      </c>
      <c r="V24" s="15">
        <f>'დანართი 2 ცხრილი-3'!X99</f>
        <v>0</v>
      </c>
      <c r="W24" s="15">
        <f>'დანართი 2 ცხრილი-3'!Y99</f>
        <v>0</v>
      </c>
      <c r="X24" s="15">
        <f>'დანართი 2 ცხრილი-3'!Z99</f>
        <v>0</v>
      </c>
    </row>
    <row r="25" spans="1:24" ht="25.5" customHeight="1" x14ac:dyDescent="0.25">
      <c r="A25" s="14" t="s">
        <v>39</v>
      </c>
      <c r="B25" s="15">
        <f>'დანართი 2 ცხრილი-3'!D109</f>
        <v>0</v>
      </c>
      <c r="C25" s="16">
        <f t="shared" si="12"/>
        <v>0</v>
      </c>
      <c r="D25" s="16">
        <f t="shared" si="3"/>
        <v>0</v>
      </c>
      <c r="E25" s="15">
        <f>'დანართი 2 ცხრილი-3'!G109</f>
        <v>0</v>
      </c>
      <c r="F25" s="16">
        <f>G25+H25+I25</f>
        <v>0</v>
      </c>
      <c r="G25" s="15">
        <f>'დანართი 2 ცხრილი-3'!I109</f>
        <v>0</v>
      </c>
      <c r="H25" s="15">
        <f>'დანართი 2 ცხრილი-3'!J109</f>
        <v>0</v>
      </c>
      <c r="I25" s="15">
        <f>'დანართი 2 ცხრილი-3'!K109</f>
        <v>0</v>
      </c>
      <c r="J25" s="15">
        <f>'დანართი 2 ცხრილი-3'!L109</f>
        <v>0</v>
      </c>
      <c r="K25" s="16">
        <f t="shared" si="13"/>
        <v>0</v>
      </c>
      <c r="L25" s="15">
        <f>'დანართი 2 ცხრილი-3'!N109</f>
        <v>0</v>
      </c>
      <c r="M25" s="15">
        <f>'დანართი 2 ცხრილი-3'!O109</f>
        <v>0</v>
      </c>
      <c r="N25" s="15">
        <f>'დანართი 2 ცხრილი-3'!P109</f>
        <v>0</v>
      </c>
      <c r="O25" s="15">
        <f>'დანართი 2 ცხრილი-3'!Q109</f>
        <v>0</v>
      </c>
      <c r="P25" s="16">
        <f t="shared" si="6"/>
        <v>0</v>
      </c>
      <c r="Q25" s="15">
        <f>'დანართი 2 ცხრილი-3'!S109</f>
        <v>0</v>
      </c>
      <c r="R25" s="15">
        <f>'დანართი 2 ცხრილი-3'!T109</f>
        <v>0</v>
      </c>
      <c r="S25" s="15">
        <f>'დანართი 2 ცხრილი-3'!U109</f>
        <v>0</v>
      </c>
      <c r="T25" s="15">
        <f>'დანართი 2 ცხრილი-3'!V109</f>
        <v>0</v>
      </c>
      <c r="U25" s="16">
        <f t="shared" si="7"/>
        <v>0</v>
      </c>
      <c r="V25" s="15">
        <f>'დანართი 2 ცხრილი-3'!X109</f>
        <v>0</v>
      </c>
      <c r="W25" s="15">
        <f>'დანართი 2 ცხრილი-3'!Y109</f>
        <v>0</v>
      </c>
      <c r="X25" s="15">
        <f>'დანართი 2 ცხრილი-3'!Z109</f>
        <v>0</v>
      </c>
    </row>
    <row r="26" spans="1:24" ht="25.5" customHeight="1" x14ac:dyDescent="0.25">
      <c r="A26" s="14" t="s">
        <v>40</v>
      </c>
      <c r="B26" s="15">
        <f>'დანართი 2 ცხრილი-3'!D119</f>
        <v>0</v>
      </c>
      <c r="C26" s="16">
        <f t="shared" si="12"/>
        <v>0</v>
      </c>
      <c r="D26" s="16">
        <f t="shared" si="3"/>
        <v>944</v>
      </c>
      <c r="E26" s="15">
        <f>'დანართი 2 ცხრილი-3'!G119</f>
        <v>0</v>
      </c>
      <c r="F26" s="16">
        <f t="shared" si="4"/>
        <v>0</v>
      </c>
      <c r="G26" s="15">
        <f>'დანართი 2 ცხრილი-3'!I119</f>
        <v>0</v>
      </c>
      <c r="H26" s="15">
        <f>'დანართი 2 ცხრილი-3'!J119</f>
        <v>0</v>
      </c>
      <c r="I26" s="15">
        <f>'დანართი 2 ცხრილი-3'!K119</f>
        <v>0</v>
      </c>
      <c r="J26" s="15">
        <f>'დანართი 2 ცხრილი-3'!L119</f>
        <v>0</v>
      </c>
      <c r="K26" s="16">
        <f t="shared" si="13"/>
        <v>0</v>
      </c>
      <c r="L26" s="15">
        <f>'დანართი 2 ცხრილი-3'!N119</f>
        <v>0</v>
      </c>
      <c r="M26" s="15">
        <f>'დანართი 2 ცხრილი-3'!O119</f>
        <v>0</v>
      </c>
      <c r="N26" s="15">
        <f>'დანართი 2 ცხრილი-3'!P119</f>
        <v>0</v>
      </c>
      <c r="O26" s="15">
        <f>'დანართი 2 ცხრილი-3'!Q119</f>
        <v>0</v>
      </c>
      <c r="P26" s="16">
        <f t="shared" si="6"/>
        <v>0</v>
      </c>
      <c r="Q26" s="15">
        <f>'დანართი 2 ცხრილი-3'!S119</f>
        <v>0</v>
      </c>
      <c r="R26" s="15">
        <f>'დანართი 2 ცხრილი-3'!T119</f>
        <v>0</v>
      </c>
      <c r="S26" s="15">
        <f>'დანართი 2 ცხრილი-3'!U119</f>
        <v>0</v>
      </c>
      <c r="T26" s="15">
        <f>'დანართი 2 ცხრილი-3'!V119</f>
        <v>0</v>
      </c>
      <c r="U26" s="16">
        <f t="shared" si="7"/>
        <v>944</v>
      </c>
      <c r="V26" s="15">
        <f>'დანართი 2 ცხრილი-3'!X119</f>
        <v>0</v>
      </c>
      <c r="W26" s="15">
        <f>'დანართი 2 ცხრილი-3'!Y122</f>
        <v>944</v>
      </c>
      <c r="X26" s="15">
        <f>'დანართი 2 ცხრილი-3'!Z119</f>
        <v>0</v>
      </c>
    </row>
    <row r="27" spans="1:24" ht="25.5" customHeight="1" x14ac:dyDescent="0.25">
      <c r="A27" s="13" t="s">
        <v>41</v>
      </c>
      <c r="B27" s="92">
        <f>'დანართი 2 ცხრილი-3'!D142</f>
        <v>0</v>
      </c>
      <c r="C27" s="16">
        <f t="shared" si="12"/>
        <v>0</v>
      </c>
      <c r="D27" s="16">
        <f t="shared" si="3"/>
        <v>0</v>
      </c>
      <c r="E27" s="92">
        <f>'დანართი 2 ცხრილი-3'!G142</f>
        <v>0</v>
      </c>
      <c r="F27" s="16">
        <f t="shared" si="4"/>
        <v>0</v>
      </c>
      <c r="G27" s="92">
        <f>'დანართი 2 ცხრილი-3'!I142</f>
        <v>0</v>
      </c>
      <c r="H27" s="92">
        <f>'დანართი 2 ცხრილი-3'!J142</f>
        <v>0</v>
      </c>
      <c r="I27" s="92">
        <f>'დანართი 2 ცხრილი-3'!K142</f>
        <v>0</v>
      </c>
      <c r="J27" s="92">
        <f>'დანართი 2 ცხრილი-3'!L142</f>
        <v>0</v>
      </c>
      <c r="K27" s="16">
        <f t="shared" si="13"/>
        <v>0</v>
      </c>
      <c r="L27" s="92">
        <f>'დანართი 2 ცხრილი-3'!N142</f>
        <v>0</v>
      </c>
      <c r="M27" s="92">
        <f>'დანართი 2 ცხრილი-3'!O142</f>
        <v>0</v>
      </c>
      <c r="N27" s="92">
        <f>'დანართი 2 ცხრილი-3'!P142</f>
        <v>0</v>
      </c>
      <c r="O27" s="92">
        <f>'დანართი 2 ცხრილი-3'!Q142</f>
        <v>0</v>
      </c>
      <c r="P27" s="16">
        <f t="shared" si="6"/>
        <v>0</v>
      </c>
      <c r="Q27" s="92">
        <f>'დანართი 2 ცხრილი-3'!S142</f>
        <v>0</v>
      </c>
      <c r="R27" s="92">
        <f>'დანართი 2 ცხრილი-3'!T142</f>
        <v>0</v>
      </c>
      <c r="S27" s="92">
        <f>'დანართი 2 ცხრილი-3'!U142</f>
        <v>0</v>
      </c>
      <c r="T27" s="92">
        <f>'დანართი 2 ცხრილი-3'!V142</f>
        <v>0</v>
      </c>
      <c r="U27" s="16">
        <f t="shared" si="7"/>
        <v>0</v>
      </c>
      <c r="V27" s="92">
        <f>'დანართი 2 ცხრილი-3'!X142</f>
        <v>0</v>
      </c>
      <c r="W27" s="92">
        <f>'დანართი 2 ცხრილი-3'!Y142</f>
        <v>0</v>
      </c>
      <c r="X27" s="92">
        <f>'დანართი 2 ცხრილი-3'!Z142</f>
        <v>0</v>
      </c>
    </row>
    <row r="28" spans="1:24" ht="25.5" customHeight="1" x14ac:dyDescent="0.25">
      <c r="A28" s="13" t="s">
        <v>42</v>
      </c>
      <c r="B28" s="92">
        <f>'დანართი 2 ცხრილი-3'!D205</f>
        <v>0</v>
      </c>
      <c r="C28" s="16">
        <f t="shared" si="12"/>
        <v>0</v>
      </c>
      <c r="D28" s="16">
        <f t="shared" si="3"/>
        <v>0</v>
      </c>
      <c r="E28" s="92">
        <f>'დანართი 2 ცხრილი-3'!G205</f>
        <v>0</v>
      </c>
      <c r="F28" s="16">
        <f t="shared" si="4"/>
        <v>0</v>
      </c>
      <c r="G28" s="92">
        <f>'დანართი 2 ცხრილი-3'!I205</f>
        <v>0</v>
      </c>
      <c r="H28" s="92">
        <f>'დანართი 2 ცხრილი-3'!J205</f>
        <v>0</v>
      </c>
      <c r="I28" s="92">
        <f>'დანართი 2 ცხრილი-3'!K205</f>
        <v>0</v>
      </c>
      <c r="J28" s="92">
        <f>'დანართი 2 ცხრილი-3'!L205</f>
        <v>0</v>
      </c>
      <c r="K28" s="16">
        <f t="shared" si="13"/>
        <v>0</v>
      </c>
      <c r="L28" s="92">
        <f>'დანართი 2 ცხრილი-3'!N205</f>
        <v>0</v>
      </c>
      <c r="M28" s="92">
        <f>'დანართი 2 ცხრილი-3'!O205</f>
        <v>0</v>
      </c>
      <c r="N28" s="92">
        <f>'დანართი 2 ცხრილი-3'!P205</f>
        <v>0</v>
      </c>
      <c r="O28" s="92">
        <f>'დანართი 2 ცხრილი-3'!Q205</f>
        <v>0</v>
      </c>
      <c r="P28" s="16">
        <f t="shared" si="6"/>
        <v>0</v>
      </c>
      <c r="Q28" s="92">
        <f>'დანართი 2 ცხრილი-3'!S205</f>
        <v>0</v>
      </c>
      <c r="R28" s="92">
        <f>'დანართი 2 ცხრილი-3'!T205</f>
        <v>0</v>
      </c>
      <c r="S28" s="92">
        <f>'დანართი 2 ცხრილი-3'!U205</f>
        <v>0</v>
      </c>
      <c r="T28" s="92">
        <f>'დანართი 2 ცხრილი-3'!V205</f>
        <v>0</v>
      </c>
      <c r="U28" s="16">
        <f t="shared" si="7"/>
        <v>0</v>
      </c>
      <c r="V28" s="92">
        <f>'დანართი 2 ცხრილი-3'!X205</f>
        <v>0</v>
      </c>
      <c r="W28" s="92">
        <f>'დანართი 2 ცხრილი-3'!Y205</f>
        <v>0</v>
      </c>
      <c r="X28" s="92">
        <f>'დანართი 2 ცხრილი-3'!Z205</f>
        <v>0</v>
      </c>
    </row>
    <row r="29" spans="1:24" ht="25.5" customHeight="1" x14ac:dyDescent="0.25">
      <c r="A29" s="13" t="s">
        <v>43</v>
      </c>
      <c r="B29" s="92">
        <f>'დანართი 2 ცხრილი-3'!D223</f>
        <v>0</v>
      </c>
      <c r="C29" s="16">
        <f t="shared" si="12"/>
        <v>0</v>
      </c>
      <c r="D29" s="16">
        <f t="shared" si="3"/>
        <v>0</v>
      </c>
      <c r="E29" s="92">
        <f>'დანართი 2 ცხრილი-3'!G223</f>
        <v>0</v>
      </c>
      <c r="F29" s="16">
        <f t="shared" si="4"/>
        <v>0</v>
      </c>
      <c r="G29" s="92">
        <f>'დანართი 2 ცხრილი-3'!I223</f>
        <v>0</v>
      </c>
      <c r="H29" s="92">
        <f>'დანართი 2 ცხრილი-3'!J223</f>
        <v>0</v>
      </c>
      <c r="I29" s="92">
        <f>'დანართი 2 ცხრილი-3'!K223</f>
        <v>0</v>
      </c>
      <c r="J29" s="92">
        <f>'დანართი 2 ცხრილი-3'!L223</f>
        <v>0</v>
      </c>
      <c r="K29" s="16">
        <f t="shared" si="13"/>
        <v>0</v>
      </c>
      <c r="L29" s="92">
        <f>'დანართი 2 ცხრილი-3'!N223</f>
        <v>0</v>
      </c>
      <c r="M29" s="92">
        <f>'დანართი 2 ცხრილი-3'!O223</f>
        <v>0</v>
      </c>
      <c r="N29" s="92">
        <f>'დანართი 2 ცხრილი-3'!P223</f>
        <v>0</v>
      </c>
      <c r="O29" s="92">
        <f>'დანართი 2 ცხრილი-3'!Q223</f>
        <v>0</v>
      </c>
      <c r="P29" s="16">
        <f t="shared" si="6"/>
        <v>0</v>
      </c>
      <c r="Q29" s="92">
        <f>'დანართი 2 ცხრილი-3'!S223</f>
        <v>0</v>
      </c>
      <c r="R29" s="92">
        <f>'დანართი 2 ცხრილი-3'!T223</f>
        <v>0</v>
      </c>
      <c r="S29" s="92">
        <f>'დანართი 2 ცხრილი-3'!U223</f>
        <v>0</v>
      </c>
      <c r="T29" s="92">
        <f>'დანართი 2 ცხრილი-3'!V223</f>
        <v>0</v>
      </c>
      <c r="U29" s="16">
        <f t="shared" si="7"/>
        <v>0</v>
      </c>
      <c r="V29" s="92">
        <f>'დანართი 2 ცხრილი-3'!X223</f>
        <v>0</v>
      </c>
      <c r="W29" s="92">
        <f>'დანართი 2 ცხრილი-3'!Y223</f>
        <v>0</v>
      </c>
      <c r="X29" s="92">
        <f>'დანართი 2 ცხრილი-3'!Z223</f>
        <v>0</v>
      </c>
    </row>
    <row r="30" spans="1:24" ht="25.5" customHeight="1" x14ac:dyDescent="0.25">
      <c r="A30" s="13" t="s">
        <v>269</v>
      </c>
      <c r="B30" s="92"/>
      <c r="C30" s="16"/>
      <c r="D30" s="16"/>
      <c r="E30" s="92"/>
      <c r="F30" s="16"/>
      <c r="G30" s="92"/>
      <c r="H30" s="92"/>
      <c r="I30" s="92"/>
      <c r="J30" s="92"/>
      <c r="K30" s="16"/>
      <c r="L30" s="92"/>
      <c r="M30" s="92"/>
      <c r="N30" s="92"/>
      <c r="O30" s="92"/>
      <c r="P30" s="16"/>
      <c r="Q30" s="92"/>
      <c r="R30" s="92"/>
      <c r="S30" s="92"/>
      <c r="T30" s="92"/>
      <c r="U30" s="16"/>
      <c r="V30" s="92"/>
      <c r="W30" s="92"/>
      <c r="X30" s="92"/>
    </row>
    <row r="31" spans="1:24" ht="25.5" customHeight="1" x14ac:dyDescent="0.25">
      <c r="A31" s="499"/>
      <c r="B31" s="499"/>
      <c r="C31" s="9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5.5" customHeight="1" x14ac:dyDescent="0.25">
      <c r="A32" s="101" t="s">
        <v>44</v>
      </c>
      <c r="B32" s="496">
        <f>D9-D18</f>
        <v>279589.00999999995</v>
      </c>
      <c r="C32" s="497"/>
      <c r="D32" s="4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</row>
    <row r="33" spans="1:24" ht="25.5" customHeight="1" x14ac:dyDescent="0.25">
      <c r="A33" s="500"/>
      <c r="B33" s="500"/>
      <c r="C33" s="91"/>
      <c r="D33" s="18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</row>
    <row r="34" spans="1:24" ht="25.5" customHeight="1" x14ac:dyDescent="0.25">
      <c r="A34" s="101" t="s">
        <v>45</v>
      </c>
      <c r="B34" s="496">
        <f>B5+D9-D18</f>
        <v>455948.93</v>
      </c>
      <c r="C34" s="497"/>
      <c r="D34" s="498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</row>
    <row r="35" spans="1:24" ht="15.75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idden="1" x14ac:dyDescent="0.25">
      <c r="A37" s="501" t="s">
        <v>46</v>
      </c>
      <c r="B37" s="3" t="e">
        <f>((B9-B18)+#REF!)-#REF!</f>
        <v>#REF!</v>
      </c>
      <c r="C37" s="3"/>
      <c r="D37" s="4" t="e">
        <f>((D9-D18)+#REF!)-B34</f>
        <v>#REF!</v>
      </c>
      <c r="E37" s="5" t="e">
        <f>((E9-E18)+#REF!)-E34</f>
        <v>#REF!</v>
      </c>
      <c r="F37" s="6" t="e">
        <f>((F9-F18)+#REF!)-F34</f>
        <v>#REF!</v>
      </c>
      <c r="G37" s="6" t="e">
        <f>((G9-G18)+#REF!)-G34</f>
        <v>#REF!</v>
      </c>
      <c r="H37" s="6" t="e">
        <f>((H9-H18)+#REF!)-H34</f>
        <v>#REF!</v>
      </c>
      <c r="I37" s="6" t="e">
        <f>((I9-I18)+#REF!)-I34</f>
        <v>#REF!</v>
      </c>
      <c r="J37" s="6" t="e">
        <f>((J9-J18)+#REF!)-J34</f>
        <v>#REF!</v>
      </c>
      <c r="K37" s="6" t="e">
        <f>((K9-K18)+#REF!)-K34</f>
        <v>#REF!</v>
      </c>
      <c r="L37" s="6" t="e">
        <f>((L9-L18)+#REF!)-L34</f>
        <v>#REF!</v>
      </c>
      <c r="M37" s="6" t="e">
        <f>((M9-M18)+#REF!)-M34</f>
        <v>#REF!</v>
      </c>
      <c r="N37" s="6" t="e">
        <f>((N9-N18)+#REF!)-N34</f>
        <v>#REF!</v>
      </c>
      <c r="O37" s="6" t="e">
        <f>((O9-O18)+#REF!)-O34</f>
        <v>#REF!</v>
      </c>
      <c r="P37" s="6" t="e">
        <f>((P9-P18)+#REF!)-P34</f>
        <v>#REF!</v>
      </c>
      <c r="Q37" s="6" t="e">
        <f>((Q9-Q18)+#REF!)-Q34</f>
        <v>#REF!</v>
      </c>
      <c r="R37" s="6" t="e">
        <f>((R9-R18)+#REF!)-R34</f>
        <v>#REF!</v>
      </c>
      <c r="S37" s="6" t="e">
        <f>((S9-S18)+#REF!)-S34</f>
        <v>#REF!</v>
      </c>
      <c r="T37" s="6" t="e">
        <f>((T9-T18)+#REF!)-T34</f>
        <v>#REF!</v>
      </c>
      <c r="U37" s="6" t="e">
        <f>((U9-U18)+#REF!)-U34</f>
        <v>#REF!</v>
      </c>
      <c r="V37" s="6" t="e">
        <f>((V9-V18)+#REF!)-V34</f>
        <v>#REF!</v>
      </c>
      <c r="W37" s="6" t="e">
        <f>((W9-W18)+#REF!)-W34</f>
        <v>#REF!</v>
      </c>
      <c r="X37" s="6" t="e">
        <f>((X9-X18)+#REF!)-X34</f>
        <v>#REF!</v>
      </c>
    </row>
    <row r="38" spans="1:24" s="103" customFormat="1" hidden="1" x14ac:dyDescent="0.25">
      <c r="A38" s="501"/>
      <c r="B38" s="7" t="e">
        <f>IF(#REF!&lt;0,IF(#REF!*-1&gt;#REF!,"შეცდომაა!!! გამოყენებული ნაშთი აღემატება, პერიოდის დასაწყისისათვის არსებულ ნაშთის მოცულობას"),0)</f>
        <v>#REF!</v>
      </c>
      <c r="C38" s="7"/>
      <c r="D38" s="7">
        <f>IF(B34&lt;0,IF(B34*-1&gt;#REF!,"შეცდომაა!!! პერიოდის დასაწყისისათვის არსებულ ნაშტზე მეტია მიმართული"),0)</f>
        <v>0</v>
      </c>
      <c r="E38" s="8">
        <f>IF(E34&lt;0,IF(E34*-1&gt;#REF!,"შეცდომაა!!! პერიოდის დასაწყისისათვის არსებულ ნაშტზე მეტია მიმართული"),0)</f>
        <v>0</v>
      </c>
      <c r="F38" s="9">
        <f>IF(F34&lt;0,IF(F34*-1&gt;#REF!,"შეცდომაა!!! პერიოდის დასაწყისისათვის არსებულ ნაშტზე მეტია მიმართული"),0)</f>
        <v>0</v>
      </c>
      <c r="G38" s="9">
        <f>IF(G34&lt;0,IF(G34*-1&gt;#REF!,"შეცდომაა!!! პერიოდის დასაწყისისათვის არსებულ ნაშტზე მეტია მიმართული"),0)</f>
        <v>0</v>
      </c>
      <c r="H38" s="9">
        <f>IF(H34&lt;0,IF(H34*-1&gt;#REF!,"შეცდომაა!!! პერიოდის დასაწყისისათვის არსებულ ნაშტზე მეტია მიმართული"),0)</f>
        <v>0</v>
      </c>
      <c r="I38" s="9">
        <f>IF(I34&lt;0,IF(I34*-1&gt;#REF!,"შეცდომაა!!! პერიოდის დასაწყისისათვის არსებულ ნაშტზე მეტია მიმართული"),0)</f>
        <v>0</v>
      </c>
      <c r="J38" s="9">
        <f>IF(J34&lt;0,IF(J34*-1&gt;#REF!,"შეცდომაა!!! პერიოდის დასაწყისისათვის არსებულ ნაშტზე მეტია მიმართული"),0)</f>
        <v>0</v>
      </c>
      <c r="K38" s="9">
        <f>IF(K34&lt;0,IF(K34*-1&gt;#REF!,"შეცდომაა!!! პერიოდის დასაწყისისათვის არსებულ ნაშტზე მეტია მიმართული"),0)</f>
        <v>0</v>
      </c>
      <c r="L38" s="9">
        <f>IF(L34&lt;0,IF(L34*-1&gt;#REF!,"შეცდომაა!!! პერიოდის დასაწყისისათვის არსებულ ნაშტზე მეტია მიმართული"),0)</f>
        <v>0</v>
      </c>
      <c r="M38" s="9">
        <f>IF(M34&lt;0,IF(M34*-1&gt;#REF!,"შეცდომაა!!! პერიოდის დასაწყისისათვის არსებულ ნაშტზე მეტია მიმართული"),0)</f>
        <v>0</v>
      </c>
      <c r="N38" s="9">
        <f>IF(N34&lt;0,IF(N34*-1&gt;#REF!,"შეცდომაა!!! პერიოდის დასაწყისისათვის არსებულ ნაშტზე მეტია მიმართული"),0)</f>
        <v>0</v>
      </c>
      <c r="O38" s="9">
        <f>IF(O34&lt;0,IF(O34*-1&gt;#REF!,"შეცდომაა!!! პერიოდის დასაწყისისათვის არსებულ ნაშტზე მეტია მიმართული"),0)</f>
        <v>0</v>
      </c>
      <c r="P38" s="9">
        <f>IF(P34&lt;0,IF(P34*-1&gt;#REF!,"შეცდომაა!!! პერიოდის დასაწყისისათვის არსებულ ნაშტზე მეტია მიმართული"),0)</f>
        <v>0</v>
      </c>
      <c r="Q38" s="9">
        <f>IF(Q34&lt;0,IF(Q34*-1&gt;#REF!,"შეცდომაა!!! პერიოდის დასაწყისისათვის არსებულ ნაშტზე მეტია მიმართული"),0)</f>
        <v>0</v>
      </c>
      <c r="R38" s="9">
        <f>IF(R34&lt;0,IF(R34*-1&gt;#REF!,"შეცდომაა!!! პერიოდის დასაწყისისათვის არსებულ ნაშტზე მეტია მიმართული"),0)</f>
        <v>0</v>
      </c>
      <c r="S38" s="9">
        <f>IF(S34&lt;0,IF(S34*-1&gt;#REF!,"შეცდომაა!!! პერიოდის დასაწყისისათვის არსებულ ნაშტზე მეტია მიმართული"),0)</f>
        <v>0</v>
      </c>
      <c r="T38" s="9">
        <f>IF(T34&lt;0,IF(T34*-1&gt;#REF!,"შეცდომაა!!! პერიოდის დასაწყისისათვის არსებულ ნაშტზე მეტია მიმართული"),0)</f>
        <v>0</v>
      </c>
      <c r="U38" s="9">
        <f>IF(U34&lt;0,IF(U34*-1&gt;#REF!,"შეცდომაა!!! პერიოდის დასაწყისისათვის არსებულ ნაშტზე მეტია მიმართული"),0)</f>
        <v>0</v>
      </c>
      <c r="V38" s="9">
        <f>IF(V34&lt;0,IF(V34*-1&gt;#REF!,"შეცდომაა!!! პერიოდის დასაწყისისათვის არსებულ ნაშტზე მეტია მიმართული"),0)</f>
        <v>0</v>
      </c>
      <c r="W38" s="9">
        <f>IF(W34&lt;0,IF(W34*-1&gt;#REF!,"შეცდომაა!!! პერიოდის დასაწყისისათვის არსებულ ნაშტზე მეტია მიმართული"),0)</f>
        <v>0</v>
      </c>
      <c r="X38" s="9">
        <f>IF(X34&lt;0,IF(X34*-1&gt;#REF!,"შეცდომაა!!! პერიოდის დასაწყისისათვის არსებულ ნაშტზე მეტია მიმართული"),0)</f>
        <v>0</v>
      </c>
    </row>
    <row r="39" spans="1:24" collapsed="1" x14ac:dyDescent="0.25"/>
  </sheetData>
  <mergeCells count="19">
    <mergeCell ref="V1:W1"/>
    <mergeCell ref="V3:W3"/>
    <mergeCell ref="A2:H2"/>
    <mergeCell ref="A6:A7"/>
    <mergeCell ref="B6:D6"/>
    <mergeCell ref="E6:F6"/>
    <mergeCell ref="J6:K6"/>
    <mergeCell ref="G6:I6"/>
    <mergeCell ref="L6:N6"/>
    <mergeCell ref="O6:P6"/>
    <mergeCell ref="Q6:S6"/>
    <mergeCell ref="V6:X6"/>
    <mergeCell ref="B5:D5"/>
    <mergeCell ref="B34:D34"/>
    <mergeCell ref="A31:B31"/>
    <mergeCell ref="A33:B33"/>
    <mergeCell ref="A37:A38"/>
    <mergeCell ref="T6:U6"/>
    <mergeCell ref="B32:D32"/>
  </mergeCells>
  <pageMargins left="0.7" right="0.7" top="0.75" bottom="0.75" header="0.3" footer="0.3"/>
  <pageSetup paperSize="9" orientation="portrait" horizontalDpi="4294967294" verticalDpi="0" r:id="rId1"/>
  <ignoredErrors>
    <ignoredError sqref="U18 U9 P9 K9 P18 F9 K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4"/>
  <sheetViews>
    <sheetView topLeftCell="B1" zoomScale="91" zoomScaleNormal="91" workbookViewId="0">
      <selection activeCell="D11" sqref="D11"/>
    </sheetView>
  </sheetViews>
  <sheetFormatPr defaultRowHeight="15" outlineLevelRow="1" x14ac:dyDescent="0.25"/>
  <cols>
    <col min="1" max="1" width="2" style="105" customWidth="1"/>
    <col min="2" max="2" width="5.85546875" style="104" customWidth="1"/>
    <col min="3" max="3" width="53.5703125" style="105" customWidth="1"/>
    <col min="4" max="4" width="9.42578125" style="105" customWidth="1"/>
    <col min="5" max="5" width="9.140625" style="105"/>
    <col min="6" max="6" width="10.7109375" style="105" customWidth="1"/>
    <col min="7" max="7" width="14.42578125" style="105" customWidth="1"/>
    <col min="8" max="8" width="11.140625" style="105" customWidth="1"/>
    <col min="9" max="9" width="12.7109375" style="105" customWidth="1"/>
    <col min="10" max="10" width="11.140625" style="105" customWidth="1"/>
    <col min="11" max="11" width="14.42578125" style="105" customWidth="1"/>
    <col min="12" max="14" width="11.7109375" style="105" customWidth="1"/>
    <col min="15" max="15" width="14.42578125" style="105" customWidth="1"/>
    <col min="16" max="18" width="12.140625" style="105" customWidth="1"/>
    <col min="19" max="19" width="14.42578125" style="105" customWidth="1"/>
    <col min="20" max="22" width="11.7109375" style="105" customWidth="1"/>
    <col min="23" max="251" width="9.140625" style="105"/>
    <col min="252" max="252" width="2" style="105" customWidth="1"/>
    <col min="253" max="253" width="5.85546875" style="105" customWidth="1"/>
    <col min="254" max="254" width="53.5703125" style="105" customWidth="1"/>
    <col min="255" max="507" width="9.140625" style="105"/>
    <col min="508" max="508" width="2" style="105" customWidth="1"/>
    <col min="509" max="509" width="5.85546875" style="105" customWidth="1"/>
    <col min="510" max="510" width="53.5703125" style="105" customWidth="1"/>
    <col min="511" max="763" width="9.140625" style="105"/>
    <col min="764" max="764" width="2" style="105" customWidth="1"/>
    <col min="765" max="765" width="5.85546875" style="105" customWidth="1"/>
    <col min="766" max="766" width="53.5703125" style="105" customWidth="1"/>
    <col min="767" max="1019" width="9.140625" style="105"/>
    <col min="1020" max="1020" width="2" style="105" customWidth="1"/>
    <col min="1021" max="1021" width="5.85546875" style="105" customWidth="1"/>
    <col min="1022" max="1022" width="53.5703125" style="105" customWidth="1"/>
    <col min="1023" max="1275" width="9.140625" style="105"/>
    <col min="1276" max="1276" width="2" style="105" customWidth="1"/>
    <col min="1277" max="1277" width="5.85546875" style="105" customWidth="1"/>
    <col min="1278" max="1278" width="53.5703125" style="105" customWidth="1"/>
    <col min="1279" max="1531" width="9.140625" style="105"/>
    <col min="1532" max="1532" width="2" style="105" customWidth="1"/>
    <col min="1533" max="1533" width="5.85546875" style="105" customWidth="1"/>
    <col min="1534" max="1534" width="53.5703125" style="105" customWidth="1"/>
    <col min="1535" max="1787" width="9.140625" style="105"/>
    <col min="1788" max="1788" width="2" style="105" customWidth="1"/>
    <col min="1789" max="1789" width="5.85546875" style="105" customWidth="1"/>
    <col min="1790" max="1790" width="53.5703125" style="105" customWidth="1"/>
    <col min="1791" max="2043" width="9.140625" style="105"/>
    <col min="2044" max="2044" width="2" style="105" customWidth="1"/>
    <col min="2045" max="2045" width="5.85546875" style="105" customWidth="1"/>
    <col min="2046" max="2046" width="53.5703125" style="105" customWidth="1"/>
    <col min="2047" max="2299" width="9.140625" style="105"/>
    <col min="2300" max="2300" width="2" style="105" customWidth="1"/>
    <col min="2301" max="2301" width="5.85546875" style="105" customWidth="1"/>
    <col min="2302" max="2302" width="53.5703125" style="105" customWidth="1"/>
    <col min="2303" max="2555" width="9.140625" style="105"/>
    <col min="2556" max="2556" width="2" style="105" customWidth="1"/>
    <col min="2557" max="2557" width="5.85546875" style="105" customWidth="1"/>
    <col min="2558" max="2558" width="53.5703125" style="105" customWidth="1"/>
    <col min="2559" max="2811" width="9.140625" style="105"/>
    <col min="2812" max="2812" width="2" style="105" customWidth="1"/>
    <col min="2813" max="2813" width="5.85546875" style="105" customWidth="1"/>
    <col min="2814" max="2814" width="53.5703125" style="105" customWidth="1"/>
    <col min="2815" max="3067" width="9.140625" style="105"/>
    <col min="3068" max="3068" width="2" style="105" customWidth="1"/>
    <col min="3069" max="3069" width="5.85546875" style="105" customWidth="1"/>
    <col min="3070" max="3070" width="53.5703125" style="105" customWidth="1"/>
    <col min="3071" max="3323" width="9.140625" style="105"/>
    <col min="3324" max="3324" width="2" style="105" customWidth="1"/>
    <col min="3325" max="3325" width="5.85546875" style="105" customWidth="1"/>
    <col min="3326" max="3326" width="53.5703125" style="105" customWidth="1"/>
    <col min="3327" max="3579" width="9.140625" style="105"/>
    <col min="3580" max="3580" width="2" style="105" customWidth="1"/>
    <col min="3581" max="3581" width="5.85546875" style="105" customWidth="1"/>
    <col min="3582" max="3582" width="53.5703125" style="105" customWidth="1"/>
    <col min="3583" max="3835" width="9.140625" style="105"/>
    <col min="3836" max="3836" width="2" style="105" customWidth="1"/>
    <col min="3837" max="3837" width="5.85546875" style="105" customWidth="1"/>
    <col min="3838" max="3838" width="53.5703125" style="105" customWidth="1"/>
    <col min="3839" max="4091" width="9.140625" style="105"/>
    <col min="4092" max="4092" width="2" style="105" customWidth="1"/>
    <col min="4093" max="4093" width="5.85546875" style="105" customWidth="1"/>
    <col min="4094" max="4094" width="53.5703125" style="105" customWidth="1"/>
    <col min="4095" max="4347" width="9.140625" style="105"/>
    <col min="4348" max="4348" width="2" style="105" customWidth="1"/>
    <col min="4349" max="4349" width="5.85546875" style="105" customWidth="1"/>
    <col min="4350" max="4350" width="53.5703125" style="105" customWidth="1"/>
    <col min="4351" max="4603" width="9.140625" style="105"/>
    <col min="4604" max="4604" width="2" style="105" customWidth="1"/>
    <col min="4605" max="4605" width="5.85546875" style="105" customWidth="1"/>
    <col min="4606" max="4606" width="53.5703125" style="105" customWidth="1"/>
    <col min="4607" max="4859" width="9.140625" style="105"/>
    <col min="4860" max="4860" width="2" style="105" customWidth="1"/>
    <col min="4861" max="4861" width="5.85546875" style="105" customWidth="1"/>
    <col min="4862" max="4862" width="53.5703125" style="105" customWidth="1"/>
    <col min="4863" max="5115" width="9.140625" style="105"/>
    <col min="5116" max="5116" width="2" style="105" customWidth="1"/>
    <col min="5117" max="5117" width="5.85546875" style="105" customWidth="1"/>
    <col min="5118" max="5118" width="53.5703125" style="105" customWidth="1"/>
    <col min="5119" max="5371" width="9.140625" style="105"/>
    <col min="5372" max="5372" width="2" style="105" customWidth="1"/>
    <col min="5373" max="5373" width="5.85546875" style="105" customWidth="1"/>
    <col min="5374" max="5374" width="53.5703125" style="105" customWidth="1"/>
    <col min="5375" max="5627" width="9.140625" style="105"/>
    <col min="5628" max="5628" width="2" style="105" customWidth="1"/>
    <col min="5629" max="5629" width="5.85546875" style="105" customWidth="1"/>
    <col min="5630" max="5630" width="53.5703125" style="105" customWidth="1"/>
    <col min="5631" max="5883" width="9.140625" style="105"/>
    <col min="5884" max="5884" width="2" style="105" customWidth="1"/>
    <col min="5885" max="5885" width="5.85546875" style="105" customWidth="1"/>
    <col min="5886" max="5886" width="53.5703125" style="105" customWidth="1"/>
    <col min="5887" max="6139" width="9.140625" style="105"/>
    <col min="6140" max="6140" width="2" style="105" customWidth="1"/>
    <col min="6141" max="6141" width="5.85546875" style="105" customWidth="1"/>
    <col min="6142" max="6142" width="53.5703125" style="105" customWidth="1"/>
    <col min="6143" max="6395" width="9.140625" style="105"/>
    <col min="6396" max="6396" width="2" style="105" customWidth="1"/>
    <col min="6397" max="6397" width="5.85546875" style="105" customWidth="1"/>
    <col min="6398" max="6398" width="53.5703125" style="105" customWidth="1"/>
    <col min="6399" max="6651" width="9.140625" style="105"/>
    <col min="6652" max="6652" width="2" style="105" customWidth="1"/>
    <col min="6653" max="6653" width="5.85546875" style="105" customWidth="1"/>
    <col min="6654" max="6654" width="53.5703125" style="105" customWidth="1"/>
    <col min="6655" max="6907" width="9.140625" style="105"/>
    <col min="6908" max="6908" width="2" style="105" customWidth="1"/>
    <col min="6909" max="6909" width="5.85546875" style="105" customWidth="1"/>
    <col min="6910" max="6910" width="53.5703125" style="105" customWidth="1"/>
    <col min="6911" max="7163" width="9.140625" style="105"/>
    <col min="7164" max="7164" width="2" style="105" customWidth="1"/>
    <col min="7165" max="7165" width="5.85546875" style="105" customWidth="1"/>
    <col min="7166" max="7166" width="53.5703125" style="105" customWidth="1"/>
    <col min="7167" max="7419" width="9.140625" style="105"/>
    <col min="7420" max="7420" width="2" style="105" customWidth="1"/>
    <col min="7421" max="7421" width="5.85546875" style="105" customWidth="1"/>
    <col min="7422" max="7422" width="53.5703125" style="105" customWidth="1"/>
    <col min="7423" max="7675" width="9.140625" style="105"/>
    <col min="7676" max="7676" width="2" style="105" customWidth="1"/>
    <col min="7677" max="7677" width="5.85546875" style="105" customWidth="1"/>
    <col min="7678" max="7678" width="53.5703125" style="105" customWidth="1"/>
    <col min="7679" max="7931" width="9.140625" style="105"/>
    <col min="7932" max="7932" width="2" style="105" customWidth="1"/>
    <col min="7933" max="7933" width="5.85546875" style="105" customWidth="1"/>
    <col min="7934" max="7934" width="53.5703125" style="105" customWidth="1"/>
    <col min="7935" max="8187" width="9.140625" style="105"/>
    <col min="8188" max="8188" width="2" style="105" customWidth="1"/>
    <col min="8189" max="8189" width="5.85546875" style="105" customWidth="1"/>
    <col min="8190" max="8190" width="53.5703125" style="105" customWidth="1"/>
    <col min="8191" max="8443" width="9.140625" style="105"/>
    <col min="8444" max="8444" width="2" style="105" customWidth="1"/>
    <col min="8445" max="8445" width="5.85546875" style="105" customWidth="1"/>
    <col min="8446" max="8446" width="53.5703125" style="105" customWidth="1"/>
    <col min="8447" max="8699" width="9.140625" style="105"/>
    <col min="8700" max="8700" width="2" style="105" customWidth="1"/>
    <col min="8701" max="8701" width="5.85546875" style="105" customWidth="1"/>
    <col min="8702" max="8702" width="53.5703125" style="105" customWidth="1"/>
    <col min="8703" max="8955" width="9.140625" style="105"/>
    <col min="8956" max="8956" width="2" style="105" customWidth="1"/>
    <col min="8957" max="8957" width="5.85546875" style="105" customWidth="1"/>
    <col min="8958" max="8958" width="53.5703125" style="105" customWidth="1"/>
    <col min="8959" max="9211" width="9.140625" style="105"/>
    <col min="9212" max="9212" width="2" style="105" customWidth="1"/>
    <col min="9213" max="9213" width="5.85546875" style="105" customWidth="1"/>
    <col min="9214" max="9214" width="53.5703125" style="105" customWidth="1"/>
    <col min="9215" max="9467" width="9.140625" style="105"/>
    <col min="9468" max="9468" width="2" style="105" customWidth="1"/>
    <col min="9469" max="9469" width="5.85546875" style="105" customWidth="1"/>
    <col min="9470" max="9470" width="53.5703125" style="105" customWidth="1"/>
    <col min="9471" max="9723" width="9.140625" style="105"/>
    <col min="9724" max="9724" width="2" style="105" customWidth="1"/>
    <col min="9725" max="9725" width="5.85546875" style="105" customWidth="1"/>
    <col min="9726" max="9726" width="53.5703125" style="105" customWidth="1"/>
    <col min="9727" max="9979" width="9.140625" style="105"/>
    <col min="9980" max="9980" width="2" style="105" customWidth="1"/>
    <col min="9981" max="9981" width="5.85546875" style="105" customWidth="1"/>
    <col min="9982" max="9982" width="53.5703125" style="105" customWidth="1"/>
    <col min="9983" max="10235" width="9.140625" style="105"/>
    <col min="10236" max="10236" width="2" style="105" customWidth="1"/>
    <col min="10237" max="10237" width="5.85546875" style="105" customWidth="1"/>
    <col min="10238" max="10238" width="53.5703125" style="105" customWidth="1"/>
    <col min="10239" max="10491" width="9.140625" style="105"/>
    <col min="10492" max="10492" width="2" style="105" customWidth="1"/>
    <col min="10493" max="10493" width="5.85546875" style="105" customWidth="1"/>
    <col min="10494" max="10494" width="53.5703125" style="105" customWidth="1"/>
    <col min="10495" max="10747" width="9.140625" style="105"/>
    <col min="10748" max="10748" width="2" style="105" customWidth="1"/>
    <col min="10749" max="10749" width="5.85546875" style="105" customWidth="1"/>
    <col min="10750" max="10750" width="53.5703125" style="105" customWidth="1"/>
    <col min="10751" max="11003" width="9.140625" style="105"/>
    <col min="11004" max="11004" width="2" style="105" customWidth="1"/>
    <col min="11005" max="11005" width="5.85546875" style="105" customWidth="1"/>
    <col min="11006" max="11006" width="53.5703125" style="105" customWidth="1"/>
    <col min="11007" max="11259" width="9.140625" style="105"/>
    <col min="11260" max="11260" width="2" style="105" customWidth="1"/>
    <col min="11261" max="11261" width="5.85546875" style="105" customWidth="1"/>
    <col min="11262" max="11262" width="53.5703125" style="105" customWidth="1"/>
    <col min="11263" max="11515" width="9.140625" style="105"/>
    <col min="11516" max="11516" width="2" style="105" customWidth="1"/>
    <col min="11517" max="11517" width="5.85546875" style="105" customWidth="1"/>
    <col min="11518" max="11518" width="53.5703125" style="105" customWidth="1"/>
    <col min="11519" max="11771" width="9.140625" style="105"/>
    <col min="11772" max="11772" width="2" style="105" customWidth="1"/>
    <col min="11773" max="11773" width="5.85546875" style="105" customWidth="1"/>
    <col min="11774" max="11774" width="53.5703125" style="105" customWidth="1"/>
    <col min="11775" max="12027" width="9.140625" style="105"/>
    <col min="12028" max="12028" width="2" style="105" customWidth="1"/>
    <col min="12029" max="12029" width="5.85546875" style="105" customWidth="1"/>
    <col min="12030" max="12030" width="53.5703125" style="105" customWidth="1"/>
    <col min="12031" max="12283" width="9.140625" style="105"/>
    <col min="12284" max="12284" width="2" style="105" customWidth="1"/>
    <col min="12285" max="12285" width="5.85546875" style="105" customWidth="1"/>
    <col min="12286" max="12286" width="53.5703125" style="105" customWidth="1"/>
    <col min="12287" max="12539" width="9.140625" style="105"/>
    <col min="12540" max="12540" width="2" style="105" customWidth="1"/>
    <col min="12541" max="12541" width="5.85546875" style="105" customWidth="1"/>
    <col min="12542" max="12542" width="53.5703125" style="105" customWidth="1"/>
    <col min="12543" max="12795" width="9.140625" style="105"/>
    <col min="12796" max="12796" width="2" style="105" customWidth="1"/>
    <col min="12797" max="12797" width="5.85546875" style="105" customWidth="1"/>
    <col min="12798" max="12798" width="53.5703125" style="105" customWidth="1"/>
    <col min="12799" max="13051" width="9.140625" style="105"/>
    <col min="13052" max="13052" width="2" style="105" customWidth="1"/>
    <col min="13053" max="13053" width="5.85546875" style="105" customWidth="1"/>
    <col min="13054" max="13054" width="53.5703125" style="105" customWidth="1"/>
    <col min="13055" max="13307" width="9.140625" style="105"/>
    <col min="13308" max="13308" width="2" style="105" customWidth="1"/>
    <col min="13309" max="13309" width="5.85546875" style="105" customWidth="1"/>
    <col min="13310" max="13310" width="53.5703125" style="105" customWidth="1"/>
    <col min="13311" max="13563" width="9.140625" style="105"/>
    <col min="13564" max="13564" width="2" style="105" customWidth="1"/>
    <col min="13565" max="13565" width="5.85546875" style="105" customWidth="1"/>
    <col min="13566" max="13566" width="53.5703125" style="105" customWidth="1"/>
    <col min="13567" max="13819" width="9.140625" style="105"/>
    <col min="13820" max="13820" width="2" style="105" customWidth="1"/>
    <col min="13821" max="13821" width="5.85546875" style="105" customWidth="1"/>
    <col min="13822" max="13822" width="53.5703125" style="105" customWidth="1"/>
    <col min="13823" max="14075" width="9.140625" style="105"/>
    <col min="14076" max="14076" width="2" style="105" customWidth="1"/>
    <col min="14077" max="14077" width="5.85546875" style="105" customWidth="1"/>
    <col min="14078" max="14078" width="53.5703125" style="105" customWidth="1"/>
    <col min="14079" max="14331" width="9.140625" style="105"/>
    <col min="14332" max="14332" width="2" style="105" customWidth="1"/>
    <col min="14333" max="14333" width="5.85546875" style="105" customWidth="1"/>
    <col min="14334" max="14334" width="53.5703125" style="105" customWidth="1"/>
    <col min="14335" max="14587" width="9.140625" style="105"/>
    <col min="14588" max="14588" width="2" style="105" customWidth="1"/>
    <col min="14589" max="14589" width="5.85546875" style="105" customWidth="1"/>
    <col min="14590" max="14590" width="53.5703125" style="105" customWidth="1"/>
    <col min="14591" max="14843" width="9.140625" style="105"/>
    <col min="14844" max="14844" width="2" style="105" customWidth="1"/>
    <col min="14845" max="14845" width="5.85546875" style="105" customWidth="1"/>
    <col min="14846" max="14846" width="53.5703125" style="105" customWidth="1"/>
    <col min="14847" max="15099" width="9.140625" style="105"/>
    <col min="15100" max="15100" width="2" style="105" customWidth="1"/>
    <col min="15101" max="15101" width="5.85546875" style="105" customWidth="1"/>
    <col min="15102" max="15102" width="53.5703125" style="105" customWidth="1"/>
    <col min="15103" max="15355" width="9.140625" style="105"/>
    <col min="15356" max="15356" width="2" style="105" customWidth="1"/>
    <col min="15357" max="15357" width="5.85546875" style="105" customWidth="1"/>
    <col min="15358" max="15358" width="53.5703125" style="105" customWidth="1"/>
    <col min="15359" max="15611" width="9.140625" style="105"/>
    <col min="15612" max="15612" width="2" style="105" customWidth="1"/>
    <col min="15613" max="15613" width="5.85546875" style="105" customWidth="1"/>
    <col min="15614" max="15614" width="53.5703125" style="105" customWidth="1"/>
    <col min="15615" max="15867" width="9.140625" style="105"/>
    <col min="15868" max="15868" width="2" style="105" customWidth="1"/>
    <col min="15869" max="15869" width="5.85546875" style="105" customWidth="1"/>
    <col min="15870" max="15870" width="53.5703125" style="105" customWidth="1"/>
    <col min="15871" max="16123" width="9.140625" style="105"/>
    <col min="16124" max="16124" width="2" style="105" customWidth="1"/>
    <col min="16125" max="16125" width="5.85546875" style="105" customWidth="1"/>
    <col min="16126" max="16126" width="53.5703125" style="105" customWidth="1"/>
    <col min="16127" max="16384" width="9.140625" style="105"/>
  </cols>
  <sheetData>
    <row r="1" spans="2:22" ht="16.5" customHeight="1" x14ac:dyDescent="0.25">
      <c r="U1" s="512" t="s">
        <v>18</v>
      </c>
      <c r="V1" s="512"/>
    </row>
    <row r="2" spans="2:22" ht="15.75" x14ac:dyDescent="0.25">
      <c r="C2" s="513" t="s">
        <v>294</v>
      </c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</row>
    <row r="3" spans="2:22" ht="25.5" customHeight="1" x14ac:dyDescent="0.25">
      <c r="C3" s="106" t="s">
        <v>20</v>
      </c>
      <c r="D3" s="106"/>
      <c r="E3" s="107"/>
      <c r="F3" s="108"/>
      <c r="U3" s="514" t="s">
        <v>47</v>
      </c>
      <c r="V3" s="514"/>
    </row>
    <row r="4" spans="2:22" x14ac:dyDescent="0.25">
      <c r="U4" s="109"/>
      <c r="V4" s="110" t="s">
        <v>1</v>
      </c>
    </row>
    <row r="5" spans="2:22" ht="41.25" customHeight="1" x14ac:dyDescent="0.25">
      <c r="B5" s="510" t="s">
        <v>48</v>
      </c>
      <c r="C5" s="510" t="s">
        <v>22</v>
      </c>
      <c r="D5" s="511" t="s">
        <v>17</v>
      </c>
      <c r="E5" s="511"/>
      <c r="F5" s="511"/>
      <c r="G5" s="111" t="s">
        <v>256</v>
      </c>
      <c r="H5" s="515" t="s">
        <v>24</v>
      </c>
      <c r="I5" s="515"/>
      <c r="J5" s="515"/>
      <c r="K5" s="111" t="s">
        <v>256</v>
      </c>
      <c r="L5" s="515" t="s">
        <v>24</v>
      </c>
      <c r="M5" s="515"/>
      <c r="N5" s="515"/>
      <c r="O5" s="111" t="s">
        <v>256</v>
      </c>
      <c r="P5" s="515" t="s">
        <v>24</v>
      </c>
      <c r="Q5" s="515"/>
      <c r="R5" s="515"/>
      <c r="S5" s="111" t="s">
        <v>256</v>
      </c>
      <c r="T5" s="515" t="s">
        <v>24</v>
      </c>
      <c r="U5" s="515"/>
      <c r="V5" s="515"/>
    </row>
    <row r="6" spans="2:22" ht="51.75" customHeight="1" x14ac:dyDescent="0.25">
      <c r="B6" s="510"/>
      <c r="C6" s="510"/>
      <c r="D6" s="112" t="s">
        <v>254</v>
      </c>
      <c r="E6" s="112" t="s">
        <v>253</v>
      </c>
      <c r="F6" s="112" t="s">
        <v>24</v>
      </c>
      <c r="G6" s="113" t="s">
        <v>24</v>
      </c>
      <c r="H6" s="113" t="s">
        <v>5</v>
      </c>
      <c r="I6" s="113" t="s">
        <v>6</v>
      </c>
      <c r="J6" s="113" t="s">
        <v>7</v>
      </c>
      <c r="K6" s="113" t="s">
        <v>24</v>
      </c>
      <c r="L6" s="237" t="s">
        <v>8</v>
      </c>
      <c r="M6" s="237" t="s">
        <v>9</v>
      </c>
      <c r="N6" s="113" t="s">
        <v>10</v>
      </c>
      <c r="O6" s="113" t="s">
        <v>24</v>
      </c>
      <c r="P6" s="113" t="s">
        <v>11</v>
      </c>
      <c r="Q6" s="113" t="s">
        <v>12</v>
      </c>
      <c r="R6" s="113" t="s">
        <v>13</v>
      </c>
      <c r="S6" s="113" t="s">
        <v>24</v>
      </c>
      <c r="T6" s="113" t="s">
        <v>14</v>
      </c>
      <c r="U6" s="113" t="s">
        <v>15</v>
      </c>
      <c r="V6" s="113" t="s">
        <v>16</v>
      </c>
    </row>
    <row r="7" spans="2:22" ht="29.25" customHeight="1" x14ac:dyDescent="0.25">
      <c r="B7" s="510" t="s">
        <v>25</v>
      </c>
      <c r="C7" s="510"/>
      <c r="D7" s="112">
        <f>D8+D42+D53+D64</f>
        <v>8000</v>
      </c>
      <c r="E7" s="112">
        <f>E8+E42+E53+E64</f>
        <v>0</v>
      </c>
      <c r="F7" s="112">
        <f t="shared" ref="F7:F38" si="0">G7+K7+O7+S7</f>
        <v>300989.58999999997</v>
      </c>
      <c r="G7" s="112">
        <f>H7+I7+J7</f>
        <v>29568.010000000002</v>
      </c>
      <c r="H7" s="112">
        <f t="shared" ref="H7:V7" si="1">H8+H42+H53+H64</f>
        <v>4245.51</v>
      </c>
      <c r="I7" s="112">
        <f t="shared" si="1"/>
        <v>4957.6000000000004</v>
      </c>
      <c r="J7" s="112">
        <f t="shared" si="1"/>
        <v>20364.900000000001</v>
      </c>
      <c r="K7" s="112">
        <f>L7+M7+N7</f>
        <v>17863.47</v>
      </c>
      <c r="L7" s="236">
        <f t="shared" ref="L7:M7" si="2">L8+L42+L53+L64</f>
        <v>6355.01</v>
      </c>
      <c r="M7" s="236">
        <f t="shared" si="2"/>
        <v>7051.32</v>
      </c>
      <c r="N7" s="112">
        <f t="shared" si="1"/>
        <v>4457.1400000000003</v>
      </c>
      <c r="O7" s="112">
        <f>P7+Q7+R7</f>
        <v>60197.5</v>
      </c>
      <c r="P7" s="112">
        <f t="shared" si="1"/>
        <v>6274.19</v>
      </c>
      <c r="Q7" s="112">
        <f t="shared" si="1"/>
        <v>30306.5</v>
      </c>
      <c r="R7" s="112">
        <f t="shared" si="1"/>
        <v>23616.81</v>
      </c>
      <c r="S7" s="112">
        <f>T7+U7+V7</f>
        <v>193360.61</v>
      </c>
      <c r="T7" s="112">
        <f t="shared" si="1"/>
        <v>61348.719999999994</v>
      </c>
      <c r="U7" s="112">
        <f t="shared" si="1"/>
        <v>70214.399999999994</v>
      </c>
      <c r="V7" s="112">
        <f t="shared" si="1"/>
        <v>61797.490000000005</v>
      </c>
    </row>
    <row r="8" spans="2:22" ht="17.25" customHeight="1" x14ac:dyDescent="0.25">
      <c r="B8" s="114" t="s">
        <v>49</v>
      </c>
      <c r="C8" s="115" t="s">
        <v>26</v>
      </c>
      <c r="D8" s="116">
        <f>D9+D20+D31</f>
        <v>8000</v>
      </c>
      <c r="E8" s="117">
        <f>E9+E20+E31</f>
        <v>0</v>
      </c>
      <c r="F8" s="113">
        <f t="shared" si="0"/>
        <v>300989.58999999997</v>
      </c>
      <c r="G8" s="113">
        <f>H8+I8+J8</f>
        <v>29568.010000000002</v>
      </c>
      <c r="H8" s="113">
        <f>H9+H20+H31</f>
        <v>4245.51</v>
      </c>
      <c r="I8" s="113">
        <f t="shared" ref="I8:V8" si="3">I9+I20+I31</f>
        <v>4957.6000000000004</v>
      </c>
      <c r="J8" s="113">
        <f t="shared" si="3"/>
        <v>20364.900000000001</v>
      </c>
      <c r="K8" s="113">
        <f t="shared" ref="K8:K71" si="4">L8+M8+N8</f>
        <v>17863.47</v>
      </c>
      <c r="L8" s="237">
        <f>L9+L20+L31</f>
        <v>6355.01</v>
      </c>
      <c r="M8" s="237">
        <f t="shared" ref="M8" si="5">M9+M20+M31</f>
        <v>7051.32</v>
      </c>
      <c r="N8" s="113">
        <f t="shared" si="3"/>
        <v>4457.1400000000003</v>
      </c>
      <c r="O8" s="113">
        <f t="shared" ref="O8:O71" si="6">P8+Q8+R8</f>
        <v>60197.5</v>
      </c>
      <c r="P8" s="113">
        <f t="shared" si="3"/>
        <v>6274.19</v>
      </c>
      <c r="Q8" s="113">
        <f t="shared" si="3"/>
        <v>30306.5</v>
      </c>
      <c r="R8" s="113">
        <f t="shared" si="3"/>
        <v>23616.81</v>
      </c>
      <c r="S8" s="113">
        <f t="shared" ref="S8:S71" si="7">T8+U8+V8</f>
        <v>193360.61</v>
      </c>
      <c r="T8" s="113">
        <f t="shared" si="3"/>
        <v>61348.719999999994</v>
      </c>
      <c r="U8" s="113">
        <f t="shared" si="3"/>
        <v>70214.399999999994</v>
      </c>
      <c r="V8" s="113">
        <f t="shared" si="3"/>
        <v>61797.490000000005</v>
      </c>
    </row>
    <row r="9" spans="2:22" s="122" customFormat="1" ht="17.25" customHeight="1" x14ac:dyDescent="0.2">
      <c r="B9" s="118"/>
      <c r="C9" s="119" t="s">
        <v>27</v>
      </c>
      <c r="D9" s="119">
        <f>SUM(D10:D19)</f>
        <v>8000</v>
      </c>
      <c r="E9" s="119">
        <f>SUM(E10:E19)</f>
        <v>0</v>
      </c>
      <c r="F9" s="120">
        <f t="shared" si="0"/>
        <v>300989.58999999997</v>
      </c>
      <c r="G9" s="120">
        <f t="shared" ref="G9:G63" si="8">H9+I9+J9</f>
        <v>29568.010000000002</v>
      </c>
      <c r="H9" s="121">
        <f>SUM(H10:H19)</f>
        <v>4245.51</v>
      </c>
      <c r="I9" s="121">
        <f t="shared" ref="I9:J9" si="9">SUM(I10:I19)</f>
        <v>4957.6000000000004</v>
      </c>
      <c r="J9" s="121">
        <f t="shared" si="9"/>
        <v>20364.900000000001</v>
      </c>
      <c r="K9" s="120">
        <f t="shared" si="4"/>
        <v>17863.47</v>
      </c>
      <c r="L9" s="121">
        <f t="shared" ref="L9:M9" si="10">SUM(L10:L19)</f>
        <v>6355.01</v>
      </c>
      <c r="M9" s="121">
        <f t="shared" si="10"/>
        <v>7051.32</v>
      </c>
      <c r="N9" s="121">
        <f t="shared" ref="N9:V9" si="11">SUM(N10:N19)</f>
        <v>4457.1400000000003</v>
      </c>
      <c r="O9" s="120">
        <f t="shared" si="6"/>
        <v>60197.5</v>
      </c>
      <c r="P9" s="121">
        <f t="shared" si="11"/>
        <v>6274.19</v>
      </c>
      <c r="Q9" s="121">
        <f t="shared" si="11"/>
        <v>30306.5</v>
      </c>
      <c r="R9" s="121">
        <f t="shared" si="11"/>
        <v>23616.81</v>
      </c>
      <c r="S9" s="120">
        <f t="shared" si="7"/>
        <v>193360.61</v>
      </c>
      <c r="T9" s="121">
        <f t="shared" si="11"/>
        <v>61348.719999999994</v>
      </c>
      <c r="U9" s="121">
        <f t="shared" si="11"/>
        <v>70214.399999999994</v>
      </c>
      <c r="V9" s="121">
        <f t="shared" si="11"/>
        <v>61797.490000000005</v>
      </c>
    </row>
    <row r="10" spans="2:22" ht="17.25" customHeight="1" outlineLevel="1" x14ac:dyDescent="0.25">
      <c r="B10" s="123">
        <v>1</v>
      </c>
      <c r="C10" s="227" t="s">
        <v>300</v>
      </c>
      <c r="D10" s="124">
        <v>8000</v>
      </c>
      <c r="E10" s="121"/>
      <c r="F10" s="120">
        <f t="shared" si="0"/>
        <v>17935.809999999998</v>
      </c>
      <c r="G10" s="120">
        <f t="shared" si="8"/>
        <v>3226.57</v>
      </c>
      <c r="H10" s="120">
        <v>1744.15</v>
      </c>
      <c r="I10" s="120">
        <v>1482.42</v>
      </c>
      <c r="J10" s="120"/>
      <c r="K10" s="120">
        <f t="shared" si="4"/>
        <v>4464.41</v>
      </c>
      <c r="L10" s="120">
        <v>2981.34</v>
      </c>
      <c r="M10" s="120">
        <v>1483.07</v>
      </c>
      <c r="N10" s="120"/>
      <c r="O10" s="120">
        <f t="shared" si="6"/>
        <v>4417.01</v>
      </c>
      <c r="P10" s="120">
        <v>2939.2</v>
      </c>
      <c r="Q10" s="120">
        <v>1477.81</v>
      </c>
      <c r="R10" s="120"/>
      <c r="S10" s="120">
        <f t="shared" si="7"/>
        <v>5827.82</v>
      </c>
      <c r="T10" s="120">
        <v>2907.95</v>
      </c>
      <c r="U10" s="120"/>
      <c r="V10" s="120">
        <v>2919.87</v>
      </c>
    </row>
    <row r="11" spans="2:22" ht="29.25" customHeight="1" outlineLevel="1" x14ac:dyDescent="0.25">
      <c r="B11" s="123">
        <v>2</v>
      </c>
      <c r="C11" s="227" t="s">
        <v>298</v>
      </c>
      <c r="D11" s="124"/>
      <c r="E11" s="121"/>
      <c r="F11" s="120">
        <f t="shared" si="0"/>
        <v>6886.32</v>
      </c>
      <c r="G11" s="120"/>
      <c r="H11" s="120"/>
      <c r="I11" s="120"/>
      <c r="J11" s="120">
        <v>6886.32</v>
      </c>
      <c r="K11" s="120">
        <f>J11+I11+H11</f>
        <v>6886.32</v>
      </c>
      <c r="L11" s="120"/>
      <c r="M11" s="120"/>
      <c r="N11" s="120"/>
      <c r="O11" s="120">
        <f t="shared" si="6"/>
        <v>0</v>
      </c>
      <c r="P11" s="120"/>
      <c r="Q11" s="120"/>
      <c r="R11" s="120"/>
      <c r="S11" s="120">
        <f t="shared" si="7"/>
        <v>0</v>
      </c>
      <c r="T11" s="120"/>
      <c r="U11" s="120"/>
      <c r="V11" s="120"/>
    </row>
    <row r="12" spans="2:22" ht="17.25" customHeight="1" outlineLevel="1" x14ac:dyDescent="0.25">
      <c r="B12" s="123">
        <v>3</v>
      </c>
      <c r="C12" s="227" t="s">
        <v>299</v>
      </c>
      <c r="D12" s="124"/>
      <c r="E12" s="121"/>
      <c r="F12" s="120">
        <f t="shared" si="0"/>
        <v>9787.59</v>
      </c>
      <c r="G12" s="120">
        <f t="shared" si="8"/>
        <v>9787.59</v>
      </c>
      <c r="H12" s="120"/>
      <c r="I12" s="120"/>
      <c r="J12" s="120">
        <v>9787.59</v>
      </c>
      <c r="K12" s="120">
        <f t="shared" si="4"/>
        <v>0</v>
      </c>
      <c r="L12" s="120"/>
      <c r="M12" s="120"/>
      <c r="N12" s="120"/>
      <c r="O12" s="120">
        <f t="shared" si="6"/>
        <v>0</v>
      </c>
      <c r="P12" s="120"/>
      <c r="Q12" s="120"/>
      <c r="R12" s="120"/>
      <c r="S12" s="120">
        <f t="shared" si="7"/>
        <v>0</v>
      </c>
      <c r="T12" s="120"/>
      <c r="U12" s="120"/>
      <c r="V12" s="120"/>
    </row>
    <row r="13" spans="2:22" ht="17.25" customHeight="1" outlineLevel="1" x14ac:dyDescent="0.25">
      <c r="B13" s="123">
        <v>4</v>
      </c>
      <c r="C13" s="227" t="s">
        <v>297</v>
      </c>
      <c r="D13" s="124"/>
      <c r="E13" s="121"/>
      <c r="F13" s="120">
        <f t="shared" ref="F13" si="12">G13+K13+O13+S13</f>
        <v>266379.87</v>
      </c>
      <c r="G13" s="120">
        <f t="shared" si="8"/>
        <v>9667.5299999999988</v>
      </c>
      <c r="H13" s="120">
        <v>2501.36</v>
      </c>
      <c r="I13" s="120">
        <v>3475.18</v>
      </c>
      <c r="J13" s="120">
        <v>3690.99</v>
      </c>
      <c r="K13" s="120">
        <f t="shared" si="4"/>
        <v>13399.060000000001</v>
      </c>
      <c r="L13" s="120">
        <v>3373.67</v>
      </c>
      <c r="M13" s="120">
        <f>3623.65+1944.6</f>
        <v>5568.25</v>
      </c>
      <c r="N13" s="120">
        <v>4457.1400000000003</v>
      </c>
      <c r="O13" s="120">
        <f t="shared" si="6"/>
        <v>55780.490000000005</v>
      </c>
      <c r="P13" s="120">
        <v>3334.99</v>
      </c>
      <c r="Q13" s="120">
        <f>3778.69+25050</f>
        <v>28828.69</v>
      </c>
      <c r="R13" s="120">
        <f>3915.81+19701</f>
        <v>23616.81</v>
      </c>
      <c r="S13" s="120">
        <f t="shared" si="7"/>
        <v>187532.78999999998</v>
      </c>
      <c r="T13" s="120">
        <f>51690.77+6750</f>
        <v>58440.77</v>
      </c>
      <c r="U13" s="120">
        <f>68164.4+2050</f>
        <v>70214.399999999994</v>
      </c>
      <c r="V13" s="120">
        <f>55927.62+2950</f>
        <v>58877.62</v>
      </c>
    </row>
    <row r="14" spans="2:22" ht="17.25" customHeight="1" outlineLevel="1" x14ac:dyDescent="0.25">
      <c r="B14" s="123">
        <v>5</v>
      </c>
      <c r="C14" s="124"/>
      <c r="D14" s="124"/>
      <c r="E14" s="121"/>
      <c r="F14" s="120">
        <f t="shared" si="0"/>
        <v>0</v>
      </c>
      <c r="G14" s="120">
        <f t="shared" si="8"/>
        <v>0</v>
      </c>
      <c r="H14" s="120"/>
      <c r="I14" s="120"/>
      <c r="J14" s="120"/>
      <c r="K14" s="120">
        <f t="shared" si="4"/>
        <v>0</v>
      </c>
      <c r="L14" s="120"/>
      <c r="M14" s="120"/>
      <c r="N14" s="120"/>
      <c r="O14" s="120">
        <f t="shared" si="6"/>
        <v>0</v>
      </c>
      <c r="P14" s="120"/>
      <c r="Q14" s="120"/>
      <c r="R14" s="120"/>
      <c r="S14" s="120">
        <f t="shared" si="7"/>
        <v>0</v>
      </c>
      <c r="T14" s="120"/>
      <c r="U14" s="120"/>
      <c r="V14" s="120"/>
    </row>
    <row r="15" spans="2:22" ht="17.25" customHeight="1" outlineLevel="1" x14ac:dyDescent="0.25">
      <c r="B15" s="123">
        <v>6</v>
      </c>
      <c r="C15" s="225"/>
      <c r="D15" s="124"/>
      <c r="E15" s="121"/>
      <c r="F15" s="120">
        <f t="shared" si="0"/>
        <v>0</v>
      </c>
      <c r="G15" s="120">
        <f t="shared" si="8"/>
        <v>0</v>
      </c>
      <c r="H15" s="120"/>
      <c r="I15" s="120"/>
      <c r="J15" s="120"/>
      <c r="K15" s="120">
        <f t="shared" si="4"/>
        <v>0</v>
      </c>
      <c r="L15" s="120"/>
      <c r="M15" s="120"/>
      <c r="N15" s="120"/>
      <c r="O15" s="120">
        <f t="shared" si="6"/>
        <v>0</v>
      </c>
      <c r="P15" s="120"/>
      <c r="Q15" s="120"/>
      <c r="R15" s="120"/>
      <c r="S15" s="120">
        <f t="shared" si="7"/>
        <v>0</v>
      </c>
      <c r="T15" s="120"/>
      <c r="U15" s="120"/>
      <c r="V15" s="120"/>
    </row>
    <row r="16" spans="2:22" ht="17.25" customHeight="1" outlineLevel="1" x14ac:dyDescent="0.25">
      <c r="B16" s="123">
        <v>7</v>
      </c>
      <c r="C16" s="225"/>
      <c r="D16" s="124"/>
      <c r="E16" s="121"/>
      <c r="F16" s="120">
        <f t="shared" si="0"/>
        <v>0</v>
      </c>
      <c r="G16" s="120">
        <f t="shared" si="8"/>
        <v>0</v>
      </c>
      <c r="H16" s="120"/>
      <c r="I16" s="120"/>
      <c r="J16" s="120"/>
      <c r="K16" s="120">
        <f t="shared" si="4"/>
        <v>0</v>
      </c>
      <c r="L16" s="120"/>
      <c r="M16" s="120"/>
      <c r="N16" s="120"/>
      <c r="O16" s="120">
        <f t="shared" si="6"/>
        <v>0</v>
      </c>
      <c r="P16" s="120"/>
      <c r="Q16" s="120"/>
      <c r="R16" s="120"/>
      <c r="S16" s="120">
        <f t="shared" si="7"/>
        <v>0</v>
      </c>
      <c r="T16" s="120"/>
      <c r="U16" s="120"/>
      <c r="V16" s="120"/>
    </row>
    <row r="17" spans="2:22" ht="17.25" customHeight="1" outlineLevel="1" x14ac:dyDescent="0.25">
      <c r="B17" s="123">
        <v>8</v>
      </c>
      <c r="C17" s="124"/>
      <c r="D17" s="124"/>
      <c r="E17" s="121"/>
      <c r="F17" s="120">
        <f t="shared" si="0"/>
        <v>0</v>
      </c>
      <c r="G17" s="120">
        <f t="shared" si="8"/>
        <v>0</v>
      </c>
      <c r="H17" s="120"/>
      <c r="I17" s="120"/>
      <c r="J17" s="120"/>
      <c r="K17" s="120">
        <f t="shared" si="4"/>
        <v>0</v>
      </c>
      <c r="L17" s="120"/>
      <c r="M17" s="120"/>
      <c r="N17" s="120"/>
      <c r="O17" s="120">
        <f t="shared" si="6"/>
        <v>0</v>
      </c>
      <c r="P17" s="120"/>
      <c r="Q17" s="120"/>
      <c r="R17" s="120"/>
      <c r="S17" s="120">
        <f t="shared" si="7"/>
        <v>0</v>
      </c>
      <c r="T17" s="120"/>
      <c r="U17" s="120"/>
      <c r="V17" s="120"/>
    </row>
    <row r="18" spans="2:22" ht="17.25" customHeight="1" outlineLevel="1" x14ac:dyDescent="0.25">
      <c r="B18" s="123">
        <v>9</v>
      </c>
      <c r="C18" s="124"/>
      <c r="D18" s="124"/>
      <c r="E18" s="121"/>
      <c r="F18" s="120">
        <f t="shared" si="0"/>
        <v>0</v>
      </c>
      <c r="G18" s="120">
        <f t="shared" si="8"/>
        <v>0</v>
      </c>
      <c r="H18" s="120"/>
      <c r="I18" s="120"/>
      <c r="J18" s="120"/>
      <c r="K18" s="120">
        <f t="shared" si="4"/>
        <v>0</v>
      </c>
      <c r="L18" s="120"/>
      <c r="M18" s="120"/>
      <c r="N18" s="120"/>
      <c r="O18" s="120">
        <f t="shared" si="6"/>
        <v>0</v>
      </c>
      <c r="P18" s="120"/>
      <c r="Q18" s="120"/>
      <c r="R18" s="120"/>
      <c r="S18" s="120">
        <f t="shared" si="7"/>
        <v>0</v>
      </c>
      <c r="T18" s="120"/>
      <c r="U18" s="120"/>
      <c r="V18" s="120"/>
    </row>
    <row r="19" spans="2:22" ht="17.25" customHeight="1" outlineLevel="1" x14ac:dyDescent="0.25">
      <c r="B19" s="123">
        <v>10</v>
      </c>
      <c r="C19" s="124"/>
      <c r="D19" s="124"/>
      <c r="E19" s="121"/>
      <c r="F19" s="120">
        <f t="shared" si="0"/>
        <v>0</v>
      </c>
      <c r="G19" s="120">
        <f t="shared" si="8"/>
        <v>0</v>
      </c>
      <c r="H19" s="120"/>
      <c r="I19" s="120"/>
      <c r="J19" s="120"/>
      <c r="K19" s="120">
        <f t="shared" si="4"/>
        <v>0</v>
      </c>
      <c r="L19" s="120"/>
      <c r="M19" s="120"/>
      <c r="N19" s="120"/>
      <c r="O19" s="120">
        <f t="shared" si="6"/>
        <v>0</v>
      </c>
      <c r="P19" s="120"/>
      <c r="Q19" s="120"/>
      <c r="R19" s="120"/>
      <c r="S19" s="120">
        <f t="shared" si="7"/>
        <v>0</v>
      </c>
      <c r="T19" s="120"/>
      <c r="U19" s="120"/>
      <c r="V19" s="120"/>
    </row>
    <row r="20" spans="2:22" s="122" customFormat="1" ht="17.25" customHeight="1" x14ac:dyDescent="0.2">
      <c r="B20" s="123"/>
      <c r="C20" s="119" t="s">
        <v>270</v>
      </c>
      <c r="D20" s="119">
        <f>SUM(D21:D30)</f>
        <v>0</v>
      </c>
      <c r="E20" s="119">
        <f>SUM(E21:E30)</f>
        <v>0</v>
      </c>
      <c r="F20" s="120">
        <f t="shared" si="0"/>
        <v>0</v>
      </c>
      <c r="G20" s="120">
        <f t="shared" si="8"/>
        <v>0</v>
      </c>
      <c r="H20" s="121">
        <f>SUM(H21:H30)</f>
        <v>0</v>
      </c>
      <c r="I20" s="121">
        <f t="shared" ref="I20:J20" si="13">SUM(I21:I30)</f>
        <v>0</v>
      </c>
      <c r="J20" s="121">
        <f t="shared" si="13"/>
        <v>0</v>
      </c>
      <c r="K20" s="120">
        <f t="shared" si="4"/>
        <v>0</v>
      </c>
      <c r="L20" s="121">
        <f t="shared" ref="L20:M20" si="14">SUM(L21:L30)</f>
        <v>0</v>
      </c>
      <c r="M20" s="121">
        <f t="shared" si="14"/>
        <v>0</v>
      </c>
      <c r="N20" s="121">
        <f t="shared" ref="N20:V20" si="15">SUM(N21:N30)</f>
        <v>0</v>
      </c>
      <c r="O20" s="120">
        <f t="shared" si="6"/>
        <v>0</v>
      </c>
      <c r="P20" s="121">
        <f t="shared" si="15"/>
        <v>0</v>
      </c>
      <c r="Q20" s="121">
        <f t="shared" si="15"/>
        <v>0</v>
      </c>
      <c r="R20" s="121">
        <f t="shared" si="15"/>
        <v>0</v>
      </c>
      <c r="S20" s="120">
        <f t="shared" si="7"/>
        <v>0</v>
      </c>
      <c r="T20" s="121">
        <f t="shared" si="15"/>
        <v>0</v>
      </c>
      <c r="U20" s="121">
        <f t="shared" si="15"/>
        <v>0</v>
      </c>
      <c r="V20" s="121">
        <f t="shared" si="15"/>
        <v>0</v>
      </c>
    </row>
    <row r="21" spans="2:22" ht="17.25" customHeight="1" outlineLevel="1" x14ac:dyDescent="0.25">
      <c r="B21" s="123">
        <v>1</v>
      </c>
      <c r="C21" s="124"/>
      <c r="D21" s="124"/>
      <c r="E21" s="121"/>
      <c r="F21" s="120">
        <f t="shared" si="0"/>
        <v>0</v>
      </c>
      <c r="G21" s="120">
        <f t="shared" si="8"/>
        <v>0</v>
      </c>
      <c r="H21" s="120"/>
      <c r="I21" s="120"/>
      <c r="J21" s="120"/>
      <c r="K21" s="120">
        <f t="shared" si="4"/>
        <v>0</v>
      </c>
      <c r="L21" s="120"/>
      <c r="M21" s="120"/>
      <c r="N21" s="120"/>
      <c r="O21" s="120">
        <f t="shared" si="6"/>
        <v>0</v>
      </c>
      <c r="P21" s="120"/>
      <c r="Q21" s="120"/>
      <c r="R21" s="120"/>
      <c r="S21" s="120">
        <f t="shared" si="7"/>
        <v>0</v>
      </c>
      <c r="T21" s="120"/>
      <c r="U21" s="120"/>
      <c r="V21" s="120"/>
    </row>
    <row r="22" spans="2:22" ht="17.25" customHeight="1" outlineLevel="1" x14ac:dyDescent="0.25">
      <c r="B22" s="123">
        <v>2</v>
      </c>
      <c r="C22" s="124"/>
      <c r="D22" s="124"/>
      <c r="E22" s="121"/>
      <c r="F22" s="120">
        <f t="shared" si="0"/>
        <v>0</v>
      </c>
      <c r="G22" s="120">
        <f t="shared" si="8"/>
        <v>0</v>
      </c>
      <c r="H22" s="120"/>
      <c r="I22" s="120"/>
      <c r="J22" s="120"/>
      <c r="K22" s="120">
        <f t="shared" si="4"/>
        <v>0</v>
      </c>
      <c r="L22" s="120"/>
      <c r="M22" s="120"/>
      <c r="N22" s="120"/>
      <c r="O22" s="120">
        <f t="shared" si="6"/>
        <v>0</v>
      </c>
      <c r="P22" s="120"/>
      <c r="Q22" s="120"/>
      <c r="R22" s="120"/>
      <c r="S22" s="120">
        <f t="shared" si="7"/>
        <v>0</v>
      </c>
      <c r="T22" s="120"/>
      <c r="U22" s="120"/>
      <c r="V22" s="120"/>
    </row>
    <row r="23" spans="2:22" ht="17.25" customHeight="1" outlineLevel="1" x14ac:dyDescent="0.25">
      <c r="B23" s="123">
        <v>3</v>
      </c>
      <c r="C23" s="124"/>
      <c r="D23" s="124"/>
      <c r="E23" s="121"/>
      <c r="F23" s="120">
        <f t="shared" si="0"/>
        <v>0</v>
      </c>
      <c r="G23" s="120">
        <f t="shared" si="8"/>
        <v>0</v>
      </c>
      <c r="H23" s="120"/>
      <c r="I23" s="120"/>
      <c r="J23" s="120"/>
      <c r="K23" s="120">
        <f t="shared" si="4"/>
        <v>0</v>
      </c>
      <c r="L23" s="120"/>
      <c r="M23" s="120"/>
      <c r="N23" s="120"/>
      <c r="O23" s="120">
        <f t="shared" si="6"/>
        <v>0</v>
      </c>
      <c r="P23" s="120"/>
      <c r="Q23" s="120"/>
      <c r="R23" s="120"/>
      <c r="S23" s="120">
        <f t="shared" si="7"/>
        <v>0</v>
      </c>
      <c r="T23" s="120"/>
      <c r="U23" s="120"/>
      <c r="V23" s="120"/>
    </row>
    <row r="24" spans="2:22" ht="17.25" customHeight="1" outlineLevel="1" x14ac:dyDescent="0.25">
      <c r="B24" s="123">
        <v>4</v>
      </c>
      <c r="C24" s="124"/>
      <c r="D24" s="124"/>
      <c r="E24" s="121"/>
      <c r="F24" s="120">
        <f t="shared" si="0"/>
        <v>0</v>
      </c>
      <c r="G24" s="120">
        <f t="shared" si="8"/>
        <v>0</v>
      </c>
      <c r="H24" s="120"/>
      <c r="I24" s="120"/>
      <c r="J24" s="120"/>
      <c r="K24" s="120">
        <f t="shared" si="4"/>
        <v>0</v>
      </c>
      <c r="L24" s="120"/>
      <c r="M24" s="120"/>
      <c r="N24" s="120"/>
      <c r="O24" s="120">
        <f t="shared" si="6"/>
        <v>0</v>
      </c>
      <c r="P24" s="120"/>
      <c r="Q24" s="120"/>
      <c r="R24" s="120"/>
      <c r="S24" s="120">
        <f t="shared" si="7"/>
        <v>0</v>
      </c>
      <c r="T24" s="120"/>
      <c r="U24" s="120"/>
      <c r="V24" s="120"/>
    </row>
    <row r="25" spans="2:22" ht="17.25" customHeight="1" outlineLevel="1" x14ac:dyDescent="0.25">
      <c r="B25" s="123">
        <v>5</v>
      </c>
      <c r="C25" s="124"/>
      <c r="D25" s="124"/>
      <c r="E25" s="121"/>
      <c r="F25" s="120">
        <f t="shared" si="0"/>
        <v>0</v>
      </c>
      <c r="G25" s="120">
        <f t="shared" si="8"/>
        <v>0</v>
      </c>
      <c r="H25" s="120"/>
      <c r="I25" s="120"/>
      <c r="J25" s="120"/>
      <c r="K25" s="120">
        <f t="shared" si="4"/>
        <v>0</v>
      </c>
      <c r="L25" s="120"/>
      <c r="M25" s="120"/>
      <c r="N25" s="120"/>
      <c r="O25" s="120">
        <f t="shared" si="6"/>
        <v>0</v>
      </c>
      <c r="P25" s="120"/>
      <c r="Q25" s="120"/>
      <c r="R25" s="120"/>
      <c r="S25" s="120">
        <f t="shared" si="7"/>
        <v>0</v>
      </c>
      <c r="T25" s="120"/>
      <c r="U25" s="120"/>
      <c r="V25" s="120"/>
    </row>
    <row r="26" spans="2:22" ht="17.25" customHeight="1" outlineLevel="1" x14ac:dyDescent="0.25">
      <c r="B26" s="123">
        <v>6</v>
      </c>
      <c r="C26" s="124"/>
      <c r="D26" s="124"/>
      <c r="E26" s="121"/>
      <c r="F26" s="120">
        <f t="shared" si="0"/>
        <v>0</v>
      </c>
      <c r="G26" s="120">
        <f t="shared" si="8"/>
        <v>0</v>
      </c>
      <c r="H26" s="120"/>
      <c r="I26" s="120"/>
      <c r="J26" s="120"/>
      <c r="K26" s="120">
        <f t="shared" si="4"/>
        <v>0</v>
      </c>
      <c r="L26" s="120"/>
      <c r="M26" s="120"/>
      <c r="N26" s="120"/>
      <c r="O26" s="120">
        <f t="shared" si="6"/>
        <v>0</v>
      </c>
      <c r="P26" s="120"/>
      <c r="Q26" s="120"/>
      <c r="R26" s="120"/>
      <c r="S26" s="120">
        <f t="shared" si="7"/>
        <v>0</v>
      </c>
      <c r="T26" s="120"/>
      <c r="U26" s="120"/>
      <c r="V26" s="120"/>
    </row>
    <row r="27" spans="2:22" ht="17.25" customHeight="1" outlineLevel="1" x14ac:dyDescent="0.25">
      <c r="B27" s="123">
        <v>7</v>
      </c>
      <c r="C27" s="124"/>
      <c r="D27" s="124"/>
      <c r="E27" s="121"/>
      <c r="F27" s="120">
        <f t="shared" si="0"/>
        <v>0</v>
      </c>
      <c r="G27" s="120">
        <f t="shared" si="8"/>
        <v>0</v>
      </c>
      <c r="H27" s="120"/>
      <c r="I27" s="120"/>
      <c r="J27" s="120"/>
      <c r="K27" s="120">
        <f t="shared" si="4"/>
        <v>0</v>
      </c>
      <c r="L27" s="120"/>
      <c r="M27" s="120"/>
      <c r="N27" s="120"/>
      <c r="O27" s="120">
        <f t="shared" si="6"/>
        <v>0</v>
      </c>
      <c r="P27" s="120"/>
      <c r="Q27" s="120"/>
      <c r="R27" s="120"/>
      <c r="S27" s="120">
        <f t="shared" si="7"/>
        <v>0</v>
      </c>
      <c r="T27" s="120"/>
      <c r="U27" s="120"/>
      <c r="V27" s="120"/>
    </row>
    <row r="28" spans="2:22" ht="17.25" customHeight="1" outlineLevel="1" x14ac:dyDescent="0.25">
      <c r="B28" s="123">
        <v>8</v>
      </c>
      <c r="C28" s="124"/>
      <c r="D28" s="124"/>
      <c r="E28" s="121"/>
      <c r="F28" s="120">
        <f t="shared" si="0"/>
        <v>0</v>
      </c>
      <c r="G28" s="120">
        <f t="shared" si="8"/>
        <v>0</v>
      </c>
      <c r="H28" s="120"/>
      <c r="I28" s="120"/>
      <c r="J28" s="120"/>
      <c r="K28" s="120">
        <f t="shared" si="4"/>
        <v>0</v>
      </c>
      <c r="L28" s="120"/>
      <c r="M28" s="120"/>
      <c r="N28" s="120"/>
      <c r="O28" s="120">
        <f t="shared" si="6"/>
        <v>0</v>
      </c>
      <c r="P28" s="120"/>
      <c r="Q28" s="120"/>
      <c r="R28" s="120"/>
      <c r="S28" s="120">
        <f t="shared" si="7"/>
        <v>0</v>
      </c>
      <c r="T28" s="120"/>
      <c r="U28" s="120"/>
      <c r="V28" s="120"/>
    </row>
    <row r="29" spans="2:22" ht="17.25" customHeight="1" outlineLevel="1" x14ac:dyDescent="0.25">
      <c r="B29" s="123">
        <v>9</v>
      </c>
      <c r="C29" s="124"/>
      <c r="D29" s="124"/>
      <c r="E29" s="121"/>
      <c r="F29" s="120">
        <f t="shared" si="0"/>
        <v>0</v>
      </c>
      <c r="G29" s="120">
        <f t="shared" si="8"/>
        <v>0</v>
      </c>
      <c r="H29" s="120"/>
      <c r="I29" s="120"/>
      <c r="J29" s="120"/>
      <c r="K29" s="120">
        <f t="shared" si="4"/>
        <v>0</v>
      </c>
      <c r="L29" s="120"/>
      <c r="M29" s="120"/>
      <c r="N29" s="120"/>
      <c r="O29" s="120">
        <f t="shared" si="6"/>
        <v>0</v>
      </c>
      <c r="P29" s="120"/>
      <c r="Q29" s="120"/>
      <c r="R29" s="120"/>
      <c r="S29" s="120">
        <f t="shared" si="7"/>
        <v>0</v>
      </c>
      <c r="T29" s="120"/>
      <c r="U29" s="120"/>
      <c r="V29" s="120"/>
    </row>
    <row r="30" spans="2:22" ht="17.25" customHeight="1" outlineLevel="1" x14ac:dyDescent="0.25">
      <c r="B30" s="123">
        <v>10</v>
      </c>
      <c r="C30" s="124"/>
      <c r="D30" s="124"/>
      <c r="E30" s="121"/>
      <c r="F30" s="120">
        <f t="shared" si="0"/>
        <v>0</v>
      </c>
      <c r="G30" s="120">
        <f t="shared" si="8"/>
        <v>0</v>
      </c>
      <c r="H30" s="120"/>
      <c r="I30" s="120"/>
      <c r="J30" s="120"/>
      <c r="K30" s="120">
        <f t="shared" si="4"/>
        <v>0</v>
      </c>
      <c r="L30" s="120"/>
      <c r="M30" s="120"/>
      <c r="N30" s="120"/>
      <c r="O30" s="120">
        <f t="shared" si="6"/>
        <v>0</v>
      </c>
      <c r="P30" s="120"/>
      <c r="Q30" s="120"/>
      <c r="R30" s="120"/>
      <c r="S30" s="120">
        <f t="shared" si="7"/>
        <v>0</v>
      </c>
      <c r="T30" s="120"/>
      <c r="U30" s="120"/>
      <c r="V30" s="120"/>
    </row>
    <row r="31" spans="2:22" s="122" customFormat="1" ht="17.25" customHeight="1" x14ac:dyDescent="0.2">
      <c r="B31" s="123"/>
      <c r="C31" s="119" t="s">
        <v>29</v>
      </c>
      <c r="D31" s="119">
        <f>SUM(D32:D41)</f>
        <v>0</v>
      </c>
      <c r="E31" s="119">
        <f>SUM(E32:E41)</f>
        <v>0</v>
      </c>
      <c r="F31" s="120">
        <f t="shared" si="0"/>
        <v>0</v>
      </c>
      <c r="G31" s="120">
        <f t="shared" si="8"/>
        <v>0</v>
      </c>
      <c r="H31" s="121">
        <f>SUM(H32:H41)</f>
        <v>0</v>
      </c>
      <c r="I31" s="121">
        <f t="shared" ref="I31:J31" si="16">SUM(I32:I41)</f>
        <v>0</v>
      </c>
      <c r="J31" s="121">
        <f t="shared" si="16"/>
        <v>0</v>
      </c>
      <c r="K31" s="120">
        <f t="shared" si="4"/>
        <v>0</v>
      </c>
      <c r="L31" s="121">
        <f t="shared" ref="L31:M31" si="17">SUM(L32:L41)</f>
        <v>0</v>
      </c>
      <c r="M31" s="121">
        <f t="shared" si="17"/>
        <v>0</v>
      </c>
      <c r="N31" s="121">
        <f t="shared" ref="N31:V31" si="18">SUM(N32:N41)</f>
        <v>0</v>
      </c>
      <c r="O31" s="120">
        <f t="shared" si="6"/>
        <v>0</v>
      </c>
      <c r="P31" s="121">
        <f t="shared" si="18"/>
        <v>0</v>
      </c>
      <c r="Q31" s="121">
        <f t="shared" si="18"/>
        <v>0</v>
      </c>
      <c r="R31" s="121">
        <f t="shared" si="18"/>
        <v>0</v>
      </c>
      <c r="S31" s="120">
        <f t="shared" si="7"/>
        <v>0</v>
      </c>
      <c r="T31" s="121">
        <f t="shared" si="18"/>
        <v>0</v>
      </c>
      <c r="U31" s="121">
        <f t="shared" si="18"/>
        <v>0</v>
      </c>
      <c r="V31" s="121">
        <f t="shared" si="18"/>
        <v>0</v>
      </c>
    </row>
    <row r="32" spans="2:22" ht="17.25" customHeight="1" outlineLevel="1" x14ac:dyDescent="0.25">
      <c r="B32" s="123">
        <v>1</v>
      </c>
      <c r="C32" s="124"/>
      <c r="D32" s="124"/>
      <c r="E32" s="121"/>
      <c r="F32" s="120">
        <f t="shared" si="0"/>
        <v>0</v>
      </c>
      <c r="G32" s="120">
        <f t="shared" si="8"/>
        <v>0</v>
      </c>
      <c r="H32" s="121"/>
      <c r="I32" s="121"/>
      <c r="J32" s="121"/>
      <c r="K32" s="120">
        <f t="shared" si="4"/>
        <v>0</v>
      </c>
      <c r="L32" s="121"/>
      <c r="M32" s="121"/>
      <c r="N32" s="121"/>
      <c r="O32" s="120">
        <f t="shared" si="6"/>
        <v>0</v>
      </c>
      <c r="P32" s="121"/>
      <c r="Q32" s="121"/>
      <c r="R32" s="121"/>
      <c r="S32" s="120">
        <f t="shared" si="7"/>
        <v>0</v>
      </c>
      <c r="T32" s="121"/>
      <c r="U32" s="121"/>
      <c r="V32" s="121"/>
    </row>
    <row r="33" spans="2:22" ht="17.25" customHeight="1" outlineLevel="1" x14ac:dyDescent="0.25">
      <c r="B33" s="123">
        <v>2</v>
      </c>
      <c r="C33" s="124"/>
      <c r="D33" s="124"/>
      <c r="E33" s="121"/>
      <c r="F33" s="120">
        <f t="shared" si="0"/>
        <v>0</v>
      </c>
      <c r="G33" s="120">
        <f t="shared" si="8"/>
        <v>0</v>
      </c>
      <c r="H33" s="121"/>
      <c r="I33" s="121"/>
      <c r="J33" s="121"/>
      <c r="K33" s="120">
        <f t="shared" si="4"/>
        <v>0</v>
      </c>
      <c r="L33" s="121"/>
      <c r="M33" s="121"/>
      <c r="N33" s="121"/>
      <c r="O33" s="120">
        <f t="shared" si="6"/>
        <v>0</v>
      </c>
      <c r="P33" s="121"/>
      <c r="Q33" s="121"/>
      <c r="R33" s="121"/>
      <c r="S33" s="120">
        <f t="shared" si="7"/>
        <v>0</v>
      </c>
      <c r="T33" s="121"/>
      <c r="U33" s="121"/>
      <c r="V33" s="121"/>
    </row>
    <row r="34" spans="2:22" ht="17.25" customHeight="1" outlineLevel="1" x14ac:dyDescent="0.25">
      <c r="B34" s="123">
        <v>3</v>
      </c>
      <c r="C34" s="124"/>
      <c r="D34" s="124"/>
      <c r="E34" s="121"/>
      <c r="F34" s="120">
        <f t="shared" si="0"/>
        <v>0</v>
      </c>
      <c r="G34" s="120">
        <f t="shared" si="8"/>
        <v>0</v>
      </c>
      <c r="H34" s="121"/>
      <c r="I34" s="121"/>
      <c r="J34" s="121"/>
      <c r="K34" s="120">
        <f t="shared" si="4"/>
        <v>0</v>
      </c>
      <c r="L34" s="121"/>
      <c r="M34" s="121"/>
      <c r="N34" s="121"/>
      <c r="O34" s="120">
        <f t="shared" si="6"/>
        <v>0</v>
      </c>
      <c r="P34" s="121"/>
      <c r="Q34" s="121"/>
      <c r="R34" s="121"/>
      <c r="S34" s="120">
        <f t="shared" si="7"/>
        <v>0</v>
      </c>
      <c r="T34" s="121"/>
      <c r="U34" s="121"/>
      <c r="V34" s="121"/>
    </row>
    <row r="35" spans="2:22" ht="17.25" customHeight="1" outlineLevel="1" x14ac:dyDescent="0.25">
      <c r="B35" s="123">
        <v>4</v>
      </c>
      <c r="C35" s="124"/>
      <c r="D35" s="124"/>
      <c r="E35" s="121"/>
      <c r="F35" s="120">
        <f t="shared" si="0"/>
        <v>0</v>
      </c>
      <c r="G35" s="120">
        <f t="shared" si="8"/>
        <v>0</v>
      </c>
      <c r="H35" s="121"/>
      <c r="I35" s="121"/>
      <c r="J35" s="121"/>
      <c r="K35" s="120">
        <f t="shared" si="4"/>
        <v>0</v>
      </c>
      <c r="L35" s="121"/>
      <c r="M35" s="121"/>
      <c r="N35" s="121"/>
      <c r="O35" s="120">
        <f t="shared" si="6"/>
        <v>0</v>
      </c>
      <c r="P35" s="121"/>
      <c r="Q35" s="121"/>
      <c r="R35" s="121"/>
      <c r="S35" s="120">
        <f t="shared" si="7"/>
        <v>0</v>
      </c>
      <c r="T35" s="121"/>
      <c r="U35" s="121"/>
      <c r="V35" s="121"/>
    </row>
    <row r="36" spans="2:22" ht="17.25" customHeight="1" outlineLevel="1" x14ac:dyDescent="0.25">
      <c r="B36" s="123">
        <v>5</v>
      </c>
      <c r="C36" s="124"/>
      <c r="D36" s="124"/>
      <c r="E36" s="121"/>
      <c r="F36" s="120">
        <f t="shared" si="0"/>
        <v>0</v>
      </c>
      <c r="G36" s="120">
        <f t="shared" si="8"/>
        <v>0</v>
      </c>
      <c r="H36" s="121"/>
      <c r="I36" s="121"/>
      <c r="J36" s="121"/>
      <c r="K36" s="120">
        <f t="shared" si="4"/>
        <v>0</v>
      </c>
      <c r="L36" s="121"/>
      <c r="M36" s="121"/>
      <c r="N36" s="121"/>
      <c r="O36" s="120">
        <f t="shared" si="6"/>
        <v>0</v>
      </c>
      <c r="P36" s="121"/>
      <c r="Q36" s="121"/>
      <c r="R36" s="121"/>
      <c r="S36" s="120">
        <f t="shared" si="7"/>
        <v>0</v>
      </c>
      <c r="T36" s="121"/>
      <c r="U36" s="121"/>
      <c r="V36" s="121"/>
    </row>
    <row r="37" spans="2:22" ht="17.25" customHeight="1" outlineLevel="1" x14ac:dyDescent="0.25">
      <c r="B37" s="123">
        <v>6</v>
      </c>
      <c r="C37" s="124"/>
      <c r="D37" s="124"/>
      <c r="E37" s="121"/>
      <c r="F37" s="120">
        <f t="shared" si="0"/>
        <v>0</v>
      </c>
      <c r="G37" s="120">
        <f t="shared" si="8"/>
        <v>0</v>
      </c>
      <c r="H37" s="121"/>
      <c r="I37" s="121"/>
      <c r="J37" s="121"/>
      <c r="K37" s="120">
        <f t="shared" si="4"/>
        <v>0</v>
      </c>
      <c r="L37" s="121"/>
      <c r="M37" s="121"/>
      <c r="N37" s="121"/>
      <c r="O37" s="120">
        <f t="shared" si="6"/>
        <v>0</v>
      </c>
      <c r="P37" s="121"/>
      <c r="Q37" s="121"/>
      <c r="R37" s="121"/>
      <c r="S37" s="120">
        <f t="shared" si="7"/>
        <v>0</v>
      </c>
      <c r="T37" s="121"/>
      <c r="U37" s="121"/>
      <c r="V37" s="121"/>
    </row>
    <row r="38" spans="2:22" ht="17.25" customHeight="1" outlineLevel="1" x14ac:dyDescent="0.25">
      <c r="B38" s="123">
        <v>7</v>
      </c>
      <c r="C38" s="124"/>
      <c r="D38" s="124"/>
      <c r="E38" s="121"/>
      <c r="F38" s="120">
        <f t="shared" si="0"/>
        <v>0</v>
      </c>
      <c r="G38" s="120">
        <f t="shared" si="8"/>
        <v>0</v>
      </c>
      <c r="H38" s="121"/>
      <c r="I38" s="121"/>
      <c r="J38" s="121"/>
      <c r="K38" s="120">
        <f t="shared" si="4"/>
        <v>0</v>
      </c>
      <c r="L38" s="121"/>
      <c r="M38" s="121"/>
      <c r="N38" s="121"/>
      <c r="O38" s="120">
        <f t="shared" si="6"/>
        <v>0</v>
      </c>
      <c r="P38" s="121"/>
      <c r="Q38" s="121"/>
      <c r="R38" s="121"/>
      <c r="S38" s="120">
        <f t="shared" si="7"/>
        <v>0</v>
      </c>
      <c r="T38" s="121"/>
      <c r="U38" s="121"/>
      <c r="V38" s="121"/>
    </row>
    <row r="39" spans="2:22" ht="17.25" customHeight="1" outlineLevel="1" x14ac:dyDescent="0.25">
      <c r="B39" s="123">
        <v>8</v>
      </c>
      <c r="C39" s="124"/>
      <c r="D39" s="124"/>
      <c r="E39" s="121"/>
      <c r="F39" s="120">
        <f t="shared" ref="F39:F70" si="19">G39+K39+O39+S39</f>
        <v>0</v>
      </c>
      <c r="G39" s="120">
        <f t="shared" si="8"/>
        <v>0</v>
      </c>
      <c r="H39" s="121"/>
      <c r="I39" s="121"/>
      <c r="J39" s="121"/>
      <c r="K39" s="120">
        <f t="shared" si="4"/>
        <v>0</v>
      </c>
      <c r="L39" s="121"/>
      <c r="M39" s="121"/>
      <c r="N39" s="121"/>
      <c r="O39" s="120">
        <f t="shared" si="6"/>
        <v>0</v>
      </c>
      <c r="P39" s="121"/>
      <c r="Q39" s="121"/>
      <c r="R39" s="121"/>
      <c r="S39" s="120">
        <f t="shared" si="7"/>
        <v>0</v>
      </c>
      <c r="T39" s="121"/>
      <c r="U39" s="121"/>
      <c r="V39" s="121"/>
    </row>
    <row r="40" spans="2:22" ht="17.25" customHeight="1" outlineLevel="1" x14ac:dyDescent="0.25">
      <c r="B40" s="123">
        <v>9</v>
      </c>
      <c r="C40" s="124"/>
      <c r="D40" s="124"/>
      <c r="E40" s="121"/>
      <c r="F40" s="120">
        <f t="shared" si="19"/>
        <v>0</v>
      </c>
      <c r="G40" s="120">
        <f t="shared" si="8"/>
        <v>0</v>
      </c>
      <c r="H40" s="121"/>
      <c r="I40" s="121"/>
      <c r="J40" s="121"/>
      <c r="K40" s="120">
        <f t="shared" si="4"/>
        <v>0</v>
      </c>
      <c r="L40" s="121"/>
      <c r="M40" s="121"/>
      <c r="N40" s="121"/>
      <c r="O40" s="120">
        <f t="shared" si="6"/>
        <v>0</v>
      </c>
      <c r="P40" s="121"/>
      <c r="Q40" s="121"/>
      <c r="R40" s="121"/>
      <c r="S40" s="120">
        <f t="shared" si="7"/>
        <v>0</v>
      </c>
      <c r="T40" s="121"/>
      <c r="U40" s="121"/>
      <c r="V40" s="121"/>
    </row>
    <row r="41" spans="2:22" ht="17.25" customHeight="1" outlineLevel="1" x14ac:dyDescent="0.25">
      <c r="B41" s="123">
        <v>10</v>
      </c>
      <c r="C41" s="124"/>
      <c r="D41" s="124"/>
      <c r="E41" s="121"/>
      <c r="F41" s="120">
        <f t="shared" si="19"/>
        <v>0</v>
      </c>
      <c r="G41" s="120">
        <f t="shared" si="8"/>
        <v>0</v>
      </c>
      <c r="H41" s="121"/>
      <c r="I41" s="121"/>
      <c r="J41" s="121"/>
      <c r="K41" s="120">
        <f t="shared" si="4"/>
        <v>0</v>
      </c>
      <c r="L41" s="121"/>
      <c r="M41" s="121"/>
      <c r="N41" s="121"/>
      <c r="O41" s="120">
        <f t="shared" si="6"/>
        <v>0</v>
      </c>
      <c r="P41" s="121"/>
      <c r="Q41" s="121"/>
      <c r="R41" s="121"/>
      <c r="S41" s="120">
        <f t="shared" si="7"/>
        <v>0</v>
      </c>
      <c r="T41" s="121"/>
      <c r="U41" s="121"/>
      <c r="V41" s="121"/>
    </row>
    <row r="42" spans="2:22" ht="17.25" customHeight="1" x14ac:dyDescent="0.25">
      <c r="B42" s="125" t="s">
        <v>50</v>
      </c>
      <c r="C42" s="115" t="s">
        <v>30</v>
      </c>
      <c r="D42" s="115">
        <f>SUM(D43:D52)</f>
        <v>0</v>
      </c>
      <c r="E42" s="115">
        <f>SUM(E43:E52)</f>
        <v>0</v>
      </c>
      <c r="F42" s="113">
        <f t="shared" si="19"/>
        <v>0</v>
      </c>
      <c r="G42" s="113">
        <f>H42+I42+J42</f>
        <v>0</v>
      </c>
      <c r="H42" s="113">
        <f>SUM(H43:H52)</f>
        <v>0</v>
      </c>
      <c r="I42" s="113">
        <f t="shared" ref="I42:V42" si="20">SUM(I43:I52)</f>
        <v>0</v>
      </c>
      <c r="J42" s="113">
        <f t="shared" si="20"/>
        <v>0</v>
      </c>
      <c r="K42" s="113">
        <f t="shared" si="4"/>
        <v>0</v>
      </c>
      <c r="L42" s="237">
        <f t="shared" ref="L42:M42" si="21">SUM(L43:L52)</f>
        <v>0</v>
      </c>
      <c r="M42" s="237">
        <f t="shared" si="21"/>
        <v>0</v>
      </c>
      <c r="N42" s="113">
        <f t="shared" si="20"/>
        <v>0</v>
      </c>
      <c r="O42" s="113">
        <f t="shared" si="6"/>
        <v>0</v>
      </c>
      <c r="P42" s="113">
        <f t="shared" si="20"/>
        <v>0</v>
      </c>
      <c r="Q42" s="113">
        <f t="shared" si="20"/>
        <v>0</v>
      </c>
      <c r="R42" s="113">
        <f t="shared" si="20"/>
        <v>0</v>
      </c>
      <c r="S42" s="113">
        <f t="shared" si="7"/>
        <v>0</v>
      </c>
      <c r="T42" s="113">
        <f t="shared" si="20"/>
        <v>0</v>
      </c>
      <c r="U42" s="113">
        <f t="shared" si="20"/>
        <v>0</v>
      </c>
      <c r="V42" s="113">
        <f t="shared" si="20"/>
        <v>0</v>
      </c>
    </row>
    <row r="43" spans="2:22" ht="17.25" customHeight="1" outlineLevel="1" x14ac:dyDescent="0.25">
      <c r="B43" s="125">
        <v>1</v>
      </c>
      <c r="C43" s="124"/>
      <c r="D43" s="124"/>
      <c r="E43" s="121"/>
      <c r="F43" s="120">
        <f t="shared" si="19"/>
        <v>0</v>
      </c>
      <c r="G43" s="126">
        <f>H43+I43+J43</f>
        <v>0</v>
      </c>
      <c r="H43" s="120"/>
      <c r="I43" s="120"/>
      <c r="J43" s="120"/>
      <c r="K43" s="126">
        <f t="shared" si="4"/>
        <v>0</v>
      </c>
      <c r="L43" s="120"/>
      <c r="M43" s="120"/>
      <c r="N43" s="120"/>
      <c r="O43" s="126">
        <f t="shared" si="6"/>
        <v>0</v>
      </c>
      <c r="P43" s="126"/>
      <c r="Q43" s="120"/>
      <c r="R43" s="120"/>
      <c r="S43" s="126">
        <f t="shared" si="7"/>
        <v>0</v>
      </c>
      <c r="T43" s="120"/>
      <c r="U43" s="120"/>
      <c r="V43" s="120"/>
    </row>
    <row r="44" spans="2:22" ht="17.25" customHeight="1" outlineLevel="1" x14ac:dyDescent="0.25">
      <c r="B44" s="125">
        <v>2</v>
      </c>
      <c r="C44" s="124"/>
      <c r="D44" s="124"/>
      <c r="E44" s="121"/>
      <c r="F44" s="120">
        <f t="shared" si="19"/>
        <v>0</v>
      </c>
      <c r="G44" s="126">
        <f t="shared" si="8"/>
        <v>0</v>
      </c>
      <c r="H44" s="120"/>
      <c r="I44" s="120"/>
      <c r="J44" s="120"/>
      <c r="K44" s="126">
        <f t="shared" si="4"/>
        <v>0</v>
      </c>
      <c r="L44" s="120"/>
      <c r="M44" s="120"/>
      <c r="N44" s="120"/>
      <c r="O44" s="126">
        <f t="shared" si="6"/>
        <v>0</v>
      </c>
      <c r="P44" s="126"/>
      <c r="Q44" s="120"/>
      <c r="R44" s="120"/>
      <c r="S44" s="126">
        <f t="shared" si="7"/>
        <v>0</v>
      </c>
      <c r="T44" s="120"/>
      <c r="U44" s="120"/>
      <c r="V44" s="120"/>
    </row>
    <row r="45" spans="2:22" ht="17.25" customHeight="1" outlineLevel="1" x14ac:dyDescent="0.25">
      <c r="B45" s="125">
        <v>3</v>
      </c>
      <c r="C45" s="124"/>
      <c r="D45" s="124"/>
      <c r="E45" s="121"/>
      <c r="F45" s="120">
        <f t="shared" si="19"/>
        <v>0</v>
      </c>
      <c r="G45" s="126">
        <f t="shared" si="8"/>
        <v>0</v>
      </c>
      <c r="H45" s="120"/>
      <c r="I45" s="120"/>
      <c r="J45" s="120"/>
      <c r="K45" s="126">
        <f t="shared" si="4"/>
        <v>0</v>
      </c>
      <c r="L45" s="120"/>
      <c r="M45" s="120"/>
      <c r="N45" s="120"/>
      <c r="O45" s="126">
        <f t="shared" si="6"/>
        <v>0</v>
      </c>
      <c r="P45" s="126"/>
      <c r="Q45" s="120"/>
      <c r="R45" s="120"/>
      <c r="S45" s="126">
        <f t="shared" si="7"/>
        <v>0</v>
      </c>
      <c r="T45" s="120"/>
      <c r="U45" s="120"/>
      <c r="V45" s="120"/>
    </row>
    <row r="46" spans="2:22" ht="17.25" customHeight="1" outlineLevel="1" x14ac:dyDescent="0.25">
      <c r="B46" s="125">
        <v>4</v>
      </c>
      <c r="C46" s="124"/>
      <c r="D46" s="124"/>
      <c r="E46" s="121"/>
      <c r="F46" s="120">
        <f t="shared" si="19"/>
        <v>0</v>
      </c>
      <c r="G46" s="126">
        <f t="shared" si="8"/>
        <v>0</v>
      </c>
      <c r="H46" s="120"/>
      <c r="I46" s="120"/>
      <c r="J46" s="120"/>
      <c r="K46" s="126">
        <f t="shared" si="4"/>
        <v>0</v>
      </c>
      <c r="L46" s="120"/>
      <c r="M46" s="120"/>
      <c r="N46" s="120"/>
      <c r="O46" s="126">
        <f t="shared" si="6"/>
        <v>0</v>
      </c>
      <c r="P46" s="126"/>
      <c r="Q46" s="120"/>
      <c r="R46" s="120"/>
      <c r="S46" s="126">
        <f t="shared" si="7"/>
        <v>0</v>
      </c>
      <c r="T46" s="120"/>
      <c r="U46" s="120"/>
      <c r="V46" s="120"/>
    </row>
    <row r="47" spans="2:22" ht="17.25" customHeight="1" outlineLevel="1" x14ac:dyDescent="0.25">
      <c r="B47" s="125">
        <v>5</v>
      </c>
      <c r="C47" s="124"/>
      <c r="D47" s="124"/>
      <c r="E47" s="121"/>
      <c r="F47" s="120">
        <f t="shared" si="19"/>
        <v>0</v>
      </c>
      <c r="G47" s="126">
        <f t="shared" si="8"/>
        <v>0</v>
      </c>
      <c r="H47" s="120"/>
      <c r="I47" s="120"/>
      <c r="J47" s="120"/>
      <c r="K47" s="126">
        <f t="shared" si="4"/>
        <v>0</v>
      </c>
      <c r="L47" s="120"/>
      <c r="M47" s="120"/>
      <c r="N47" s="120"/>
      <c r="O47" s="126">
        <f t="shared" si="6"/>
        <v>0</v>
      </c>
      <c r="P47" s="126"/>
      <c r="Q47" s="120"/>
      <c r="R47" s="120"/>
      <c r="S47" s="126">
        <f t="shared" si="7"/>
        <v>0</v>
      </c>
      <c r="T47" s="120"/>
      <c r="U47" s="120"/>
      <c r="V47" s="120"/>
    </row>
    <row r="48" spans="2:22" ht="17.25" customHeight="1" outlineLevel="1" x14ac:dyDescent="0.25">
      <c r="B48" s="125">
        <v>6</v>
      </c>
      <c r="C48" s="124"/>
      <c r="D48" s="124"/>
      <c r="E48" s="121"/>
      <c r="F48" s="120">
        <f t="shared" si="19"/>
        <v>0</v>
      </c>
      <c r="G48" s="126">
        <f t="shared" si="8"/>
        <v>0</v>
      </c>
      <c r="H48" s="120"/>
      <c r="I48" s="120"/>
      <c r="J48" s="120"/>
      <c r="K48" s="126">
        <f t="shared" si="4"/>
        <v>0</v>
      </c>
      <c r="L48" s="120"/>
      <c r="M48" s="120"/>
      <c r="N48" s="120"/>
      <c r="O48" s="126">
        <f t="shared" si="6"/>
        <v>0</v>
      </c>
      <c r="P48" s="126"/>
      <c r="Q48" s="120"/>
      <c r="R48" s="120"/>
      <c r="S48" s="126">
        <f t="shared" si="7"/>
        <v>0</v>
      </c>
      <c r="T48" s="120"/>
      <c r="U48" s="120"/>
      <c r="V48" s="120"/>
    </row>
    <row r="49" spans="2:22" ht="17.25" customHeight="1" outlineLevel="1" x14ac:dyDescent="0.25">
      <c r="B49" s="125">
        <v>7</v>
      </c>
      <c r="C49" s="124"/>
      <c r="D49" s="124"/>
      <c r="E49" s="121"/>
      <c r="F49" s="120">
        <f t="shared" si="19"/>
        <v>0</v>
      </c>
      <c r="G49" s="126">
        <f t="shared" si="8"/>
        <v>0</v>
      </c>
      <c r="H49" s="120"/>
      <c r="I49" s="120"/>
      <c r="J49" s="120"/>
      <c r="K49" s="126">
        <f t="shared" si="4"/>
        <v>0</v>
      </c>
      <c r="L49" s="120"/>
      <c r="M49" s="120"/>
      <c r="N49" s="120"/>
      <c r="O49" s="126">
        <f t="shared" si="6"/>
        <v>0</v>
      </c>
      <c r="P49" s="126"/>
      <c r="Q49" s="120"/>
      <c r="R49" s="120"/>
      <c r="S49" s="126">
        <f t="shared" si="7"/>
        <v>0</v>
      </c>
      <c r="T49" s="120"/>
      <c r="U49" s="120"/>
      <c r="V49" s="120"/>
    </row>
    <row r="50" spans="2:22" ht="17.25" customHeight="1" outlineLevel="1" x14ac:dyDescent="0.25">
      <c r="B50" s="125">
        <v>8</v>
      </c>
      <c r="C50" s="124"/>
      <c r="D50" s="124"/>
      <c r="E50" s="121"/>
      <c r="F50" s="120">
        <f t="shared" si="19"/>
        <v>0</v>
      </c>
      <c r="G50" s="126">
        <f t="shared" si="8"/>
        <v>0</v>
      </c>
      <c r="H50" s="120"/>
      <c r="I50" s="120"/>
      <c r="J50" s="120"/>
      <c r="K50" s="126">
        <f t="shared" si="4"/>
        <v>0</v>
      </c>
      <c r="L50" s="120"/>
      <c r="M50" s="120"/>
      <c r="N50" s="120"/>
      <c r="O50" s="126">
        <f t="shared" si="6"/>
        <v>0</v>
      </c>
      <c r="P50" s="126"/>
      <c r="Q50" s="120"/>
      <c r="R50" s="120"/>
      <c r="S50" s="126">
        <f t="shared" si="7"/>
        <v>0</v>
      </c>
      <c r="T50" s="120"/>
      <c r="U50" s="120"/>
      <c r="V50" s="120"/>
    </row>
    <row r="51" spans="2:22" ht="17.25" customHeight="1" outlineLevel="1" x14ac:dyDescent="0.25">
      <c r="B51" s="125">
        <v>9</v>
      </c>
      <c r="C51" s="124"/>
      <c r="D51" s="124"/>
      <c r="E51" s="121"/>
      <c r="F51" s="120">
        <f t="shared" si="19"/>
        <v>0</v>
      </c>
      <c r="G51" s="126">
        <f t="shared" si="8"/>
        <v>0</v>
      </c>
      <c r="H51" s="120"/>
      <c r="I51" s="120"/>
      <c r="J51" s="120"/>
      <c r="K51" s="126">
        <f t="shared" si="4"/>
        <v>0</v>
      </c>
      <c r="L51" s="120"/>
      <c r="M51" s="120"/>
      <c r="N51" s="120"/>
      <c r="O51" s="126">
        <f t="shared" si="6"/>
        <v>0</v>
      </c>
      <c r="P51" s="126"/>
      <c r="Q51" s="120"/>
      <c r="R51" s="120"/>
      <c r="S51" s="126">
        <f t="shared" si="7"/>
        <v>0</v>
      </c>
      <c r="T51" s="120"/>
      <c r="U51" s="120"/>
      <c r="V51" s="120"/>
    </row>
    <row r="52" spans="2:22" ht="17.25" customHeight="1" outlineLevel="1" x14ac:dyDescent="0.25">
      <c r="B52" s="125">
        <v>10</v>
      </c>
      <c r="C52" s="124"/>
      <c r="D52" s="124"/>
      <c r="E52" s="121"/>
      <c r="F52" s="120">
        <f t="shared" si="19"/>
        <v>0</v>
      </c>
      <c r="G52" s="126">
        <f t="shared" si="8"/>
        <v>0</v>
      </c>
      <c r="H52" s="120"/>
      <c r="I52" s="120"/>
      <c r="J52" s="120"/>
      <c r="K52" s="126">
        <f t="shared" si="4"/>
        <v>0</v>
      </c>
      <c r="L52" s="120"/>
      <c r="M52" s="120"/>
      <c r="N52" s="120"/>
      <c r="O52" s="126">
        <f t="shared" si="6"/>
        <v>0</v>
      </c>
      <c r="P52" s="126"/>
      <c r="Q52" s="120"/>
      <c r="R52" s="120"/>
      <c r="S52" s="126">
        <f t="shared" si="7"/>
        <v>0</v>
      </c>
      <c r="T52" s="120"/>
      <c r="U52" s="120"/>
      <c r="V52" s="120"/>
    </row>
    <row r="53" spans="2:22" ht="27.75" customHeight="1" x14ac:dyDescent="0.25">
      <c r="B53" s="125" t="s">
        <v>51</v>
      </c>
      <c r="C53" s="115" t="s">
        <v>31</v>
      </c>
      <c r="D53" s="115">
        <f>SUM(D54:D63)</f>
        <v>0</v>
      </c>
      <c r="E53" s="115">
        <f>SUM(E54:E63)</f>
        <v>0</v>
      </c>
      <c r="F53" s="113">
        <f t="shared" si="19"/>
        <v>0</v>
      </c>
      <c r="G53" s="113">
        <f t="shared" si="8"/>
        <v>0</v>
      </c>
      <c r="H53" s="113">
        <f>SUM(H54:H63)</f>
        <v>0</v>
      </c>
      <c r="I53" s="113">
        <f t="shared" ref="I53:V53" si="22">SUM(I54:I63)</f>
        <v>0</v>
      </c>
      <c r="J53" s="113">
        <f t="shared" si="22"/>
        <v>0</v>
      </c>
      <c r="K53" s="113">
        <f t="shared" si="4"/>
        <v>0</v>
      </c>
      <c r="L53" s="237">
        <f>SUM(L54:L63)</f>
        <v>0</v>
      </c>
      <c r="M53" s="237">
        <f t="shared" ref="M53" si="23">SUM(M54:M63)</f>
        <v>0</v>
      </c>
      <c r="N53" s="113">
        <f t="shared" si="22"/>
        <v>0</v>
      </c>
      <c r="O53" s="113">
        <f t="shared" si="6"/>
        <v>0</v>
      </c>
      <c r="P53" s="113">
        <f t="shared" si="22"/>
        <v>0</v>
      </c>
      <c r="Q53" s="113">
        <f t="shared" si="22"/>
        <v>0</v>
      </c>
      <c r="R53" s="113">
        <f t="shared" si="22"/>
        <v>0</v>
      </c>
      <c r="S53" s="113">
        <f t="shared" si="7"/>
        <v>0</v>
      </c>
      <c r="T53" s="113">
        <f t="shared" si="22"/>
        <v>0</v>
      </c>
      <c r="U53" s="113">
        <f t="shared" si="22"/>
        <v>0</v>
      </c>
      <c r="V53" s="113">
        <f t="shared" si="22"/>
        <v>0</v>
      </c>
    </row>
    <row r="54" spans="2:22" ht="17.25" customHeight="1" outlineLevel="1" x14ac:dyDescent="0.25">
      <c r="B54" s="125">
        <v>1</v>
      </c>
      <c r="C54" s="124"/>
      <c r="D54" s="124"/>
      <c r="E54" s="121"/>
      <c r="F54" s="120">
        <f t="shared" si="19"/>
        <v>0</v>
      </c>
      <c r="G54" s="126">
        <f t="shared" si="8"/>
        <v>0</v>
      </c>
      <c r="H54" s="120"/>
      <c r="I54" s="120"/>
      <c r="J54" s="120"/>
      <c r="K54" s="126">
        <f t="shared" si="4"/>
        <v>0</v>
      </c>
      <c r="L54" s="120"/>
      <c r="M54" s="120"/>
      <c r="N54" s="120"/>
      <c r="O54" s="126">
        <f t="shared" si="6"/>
        <v>0</v>
      </c>
      <c r="P54" s="120"/>
      <c r="Q54" s="120"/>
      <c r="R54" s="120"/>
      <c r="S54" s="126">
        <f t="shared" si="7"/>
        <v>0</v>
      </c>
      <c r="T54" s="120"/>
      <c r="U54" s="120"/>
      <c r="V54" s="120"/>
    </row>
    <row r="55" spans="2:22" ht="17.25" customHeight="1" outlineLevel="1" x14ac:dyDescent="0.25">
      <c r="B55" s="125">
        <v>2</v>
      </c>
      <c r="C55" s="124"/>
      <c r="D55" s="124"/>
      <c r="E55" s="121"/>
      <c r="F55" s="120">
        <f t="shared" si="19"/>
        <v>0</v>
      </c>
      <c r="G55" s="126">
        <f t="shared" si="8"/>
        <v>0</v>
      </c>
      <c r="H55" s="120"/>
      <c r="I55" s="120"/>
      <c r="J55" s="120"/>
      <c r="K55" s="126">
        <f t="shared" si="4"/>
        <v>0</v>
      </c>
      <c r="L55" s="120"/>
      <c r="M55" s="120"/>
      <c r="N55" s="120"/>
      <c r="O55" s="126">
        <f t="shared" si="6"/>
        <v>0</v>
      </c>
      <c r="P55" s="120"/>
      <c r="Q55" s="120"/>
      <c r="R55" s="120"/>
      <c r="S55" s="126">
        <f t="shared" si="7"/>
        <v>0</v>
      </c>
      <c r="T55" s="120"/>
      <c r="U55" s="120"/>
      <c r="V55" s="120"/>
    </row>
    <row r="56" spans="2:22" ht="17.25" customHeight="1" outlineLevel="1" x14ac:dyDescent="0.25">
      <c r="B56" s="125">
        <v>3</v>
      </c>
      <c r="C56" s="124"/>
      <c r="D56" s="124"/>
      <c r="E56" s="121"/>
      <c r="F56" s="120">
        <f t="shared" si="19"/>
        <v>0</v>
      </c>
      <c r="G56" s="126">
        <f t="shared" si="8"/>
        <v>0</v>
      </c>
      <c r="H56" s="120"/>
      <c r="I56" s="120"/>
      <c r="J56" s="120"/>
      <c r="K56" s="126">
        <f t="shared" si="4"/>
        <v>0</v>
      </c>
      <c r="L56" s="120"/>
      <c r="M56" s="120"/>
      <c r="N56" s="120"/>
      <c r="O56" s="126">
        <f t="shared" si="6"/>
        <v>0</v>
      </c>
      <c r="P56" s="120"/>
      <c r="Q56" s="120"/>
      <c r="R56" s="120"/>
      <c r="S56" s="126">
        <f t="shared" si="7"/>
        <v>0</v>
      </c>
      <c r="T56" s="120"/>
      <c r="U56" s="120"/>
      <c r="V56" s="120"/>
    </row>
    <row r="57" spans="2:22" ht="17.25" customHeight="1" outlineLevel="1" x14ac:dyDescent="0.25">
      <c r="B57" s="125">
        <v>4</v>
      </c>
      <c r="C57" s="124"/>
      <c r="D57" s="124"/>
      <c r="E57" s="121"/>
      <c r="F57" s="120">
        <f t="shared" si="19"/>
        <v>0</v>
      </c>
      <c r="G57" s="126">
        <f t="shared" si="8"/>
        <v>0</v>
      </c>
      <c r="H57" s="120"/>
      <c r="I57" s="120"/>
      <c r="J57" s="120"/>
      <c r="K57" s="126">
        <f t="shared" si="4"/>
        <v>0</v>
      </c>
      <c r="L57" s="120"/>
      <c r="M57" s="120"/>
      <c r="N57" s="120"/>
      <c r="O57" s="126">
        <f t="shared" si="6"/>
        <v>0</v>
      </c>
      <c r="P57" s="120"/>
      <c r="Q57" s="120"/>
      <c r="R57" s="120"/>
      <c r="S57" s="126">
        <f t="shared" si="7"/>
        <v>0</v>
      </c>
      <c r="T57" s="120"/>
      <c r="U57" s="120"/>
      <c r="V57" s="120"/>
    </row>
    <row r="58" spans="2:22" ht="17.25" customHeight="1" outlineLevel="1" x14ac:dyDescent="0.25">
      <c r="B58" s="125">
        <v>5</v>
      </c>
      <c r="C58" s="124"/>
      <c r="D58" s="124"/>
      <c r="E58" s="121"/>
      <c r="F58" s="120">
        <f t="shared" si="19"/>
        <v>0</v>
      </c>
      <c r="G58" s="126">
        <f t="shared" si="8"/>
        <v>0</v>
      </c>
      <c r="H58" s="120"/>
      <c r="I58" s="120"/>
      <c r="J58" s="120"/>
      <c r="K58" s="126">
        <f t="shared" si="4"/>
        <v>0</v>
      </c>
      <c r="L58" s="120"/>
      <c r="M58" s="120"/>
      <c r="N58" s="120"/>
      <c r="O58" s="126">
        <f t="shared" si="6"/>
        <v>0</v>
      </c>
      <c r="P58" s="120"/>
      <c r="Q58" s="120"/>
      <c r="R58" s="120"/>
      <c r="S58" s="126">
        <f t="shared" si="7"/>
        <v>0</v>
      </c>
      <c r="T58" s="120"/>
      <c r="U58" s="120"/>
      <c r="V58" s="120"/>
    </row>
    <row r="59" spans="2:22" ht="17.25" customHeight="1" outlineLevel="1" x14ac:dyDescent="0.25">
      <c r="B59" s="125">
        <v>6</v>
      </c>
      <c r="C59" s="124"/>
      <c r="D59" s="124"/>
      <c r="E59" s="121"/>
      <c r="F59" s="120">
        <f t="shared" si="19"/>
        <v>0</v>
      </c>
      <c r="G59" s="126">
        <f t="shared" si="8"/>
        <v>0</v>
      </c>
      <c r="H59" s="120"/>
      <c r="I59" s="120"/>
      <c r="J59" s="120"/>
      <c r="K59" s="126">
        <f t="shared" si="4"/>
        <v>0</v>
      </c>
      <c r="L59" s="120"/>
      <c r="M59" s="120"/>
      <c r="N59" s="120"/>
      <c r="O59" s="126">
        <f t="shared" si="6"/>
        <v>0</v>
      </c>
      <c r="P59" s="120"/>
      <c r="Q59" s="120"/>
      <c r="R59" s="120"/>
      <c r="S59" s="126">
        <f t="shared" si="7"/>
        <v>0</v>
      </c>
      <c r="T59" s="120"/>
      <c r="U59" s="120"/>
      <c r="V59" s="120"/>
    </row>
    <row r="60" spans="2:22" ht="17.25" customHeight="1" outlineLevel="1" x14ac:dyDescent="0.25">
      <c r="B60" s="125">
        <v>7</v>
      </c>
      <c r="C60" s="124"/>
      <c r="D60" s="124"/>
      <c r="E60" s="121"/>
      <c r="F60" s="120">
        <f t="shared" si="19"/>
        <v>0</v>
      </c>
      <c r="G60" s="126">
        <f t="shared" si="8"/>
        <v>0</v>
      </c>
      <c r="H60" s="120"/>
      <c r="I60" s="120"/>
      <c r="J60" s="120"/>
      <c r="K60" s="126">
        <f t="shared" si="4"/>
        <v>0</v>
      </c>
      <c r="L60" s="120"/>
      <c r="M60" s="120"/>
      <c r="N60" s="120"/>
      <c r="O60" s="126">
        <f t="shared" si="6"/>
        <v>0</v>
      </c>
      <c r="P60" s="120"/>
      <c r="Q60" s="120"/>
      <c r="R60" s="120"/>
      <c r="S60" s="126">
        <f t="shared" si="7"/>
        <v>0</v>
      </c>
      <c r="T60" s="120"/>
      <c r="U60" s="120"/>
      <c r="V60" s="120"/>
    </row>
    <row r="61" spans="2:22" ht="17.25" customHeight="1" outlineLevel="1" x14ac:dyDescent="0.25">
      <c r="B61" s="125">
        <v>8</v>
      </c>
      <c r="C61" s="124"/>
      <c r="D61" s="124"/>
      <c r="E61" s="121"/>
      <c r="F61" s="120">
        <f t="shared" si="19"/>
        <v>0</v>
      </c>
      <c r="G61" s="126">
        <f t="shared" si="8"/>
        <v>0</v>
      </c>
      <c r="H61" s="120"/>
      <c r="I61" s="120"/>
      <c r="J61" s="120"/>
      <c r="K61" s="126">
        <f t="shared" si="4"/>
        <v>0</v>
      </c>
      <c r="L61" s="120"/>
      <c r="M61" s="120"/>
      <c r="N61" s="120"/>
      <c r="O61" s="126">
        <f t="shared" si="6"/>
        <v>0</v>
      </c>
      <c r="P61" s="120"/>
      <c r="Q61" s="120"/>
      <c r="R61" s="120"/>
      <c r="S61" s="126">
        <f t="shared" si="7"/>
        <v>0</v>
      </c>
      <c r="T61" s="120"/>
      <c r="U61" s="120"/>
      <c r="V61" s="120"/>
    </row>
    <row r="62" spans="2:22" ht="17.25" customHeight="1" outlineLevel="1" x14ac:dyDescent="0.25">
      <c r="B62" s="125">
        <v>9</v>
      </c>
      <c r="C62" s="124"/>
      <c r="D62" s="124"/>
      <c r="E62" s="121"/>
      <c r="F62" s="120">
        <f t="shared" si="19"/>
        <v>0</v>
      </c>
      <c r="G62" s="126">
        <f t="shared" si="8"/>
        <v>0</v>
      </c>
      <c r="H62" s="120"/>
      <c r="I62" s="120"/>
      <c r="J62" s="120"/>
      <c r="K62" s="126">
        <f t="shared" si="4"/>
        <v>0</v>
      </c>
      <c r="L62" s="120"/>
      <c r="M62" s="120"/>
      <c r="N62" s="120"/>
      <c r="O62" s="126">
        <f t="shared" si="6"/>
        <v>0</v>
      </c>
      <c r="P62" s="120"/>
      <c r="Q62" s="120"/>
      <c r="R62" s="120"/>
      <c r="S62" s="126">
        <f t="shared" si="7"/>
        <v>0</v>
      </c>
      <c r="T62" s="120"/>
      <c r="U62" s="120"/>
      <c r="V62" s="120"/>
    </row>
    <row r="63" spans="2:22" ht="17.25" customHeight="1" outlineLevel="1" x14ac:dyDescent="0.25">
      <c r="B63" s="125">
        <v>10</v>
      </c>
      <c r="C63" s="124"/>
      <c r="D63" s="124"/>
      <c r="E63" s="121"/>
      <c r="F63" s="120">
        <f t="shared" si="19"/>
        <v>0</v>
      </c>
      <c r="G63" s="126">
        <f t="shared" si="8"/>
        <v>0</v>
      </c>
      <c r="H63" s="120"/>
      <c r="I63" s="120"/>
      <c r="J63" s="120"/>
      <c r="K63" s="126">
        <f t="shared" si="4"/>
        <v>0</v>
      </c>
      <c r="L63" s="120"/>
      <c r="M63" s="120"/>
      <c r="N63" s="120"/>
      <c r="O63" s="126">
        <f t="shared" si="6"/>
        <v>0</v>
      </c>
      <c r="P63" s="120"/>
      <c r="Q63" s="120"/>
      <c r="R63" s="120"/>
      <c r="S63" s="126">
        <f t="shared" si="7"/>
        <v>0</v>
      </c>
      <c r="T63" s="120"/>
      <c r="U63" s="120"/>
      <c r="V63" s="120"/>
    </row>
    <row r="64" spans="2:22" ht="17.25" customHeight="1" x14ac:dyDescent="0.25">
      <c r="B64" s="125" t="s">
        <v>52</v>
      </c>
      <c r="C64" s="115" t="s">
        <v>32</v>
      </c>
      <c r="D64" s="115">
        <f>SUM(D65:D74)</f>
        <v>0</v>
      </c>
      <c r="E64" s="115">
        <f>SUM(E65:E74)</f>
        <v>0</v>
      </c>
      <c r="F64" s="113">
        <f t="shared" si="19"/>
        <v>0</v>
      </c>
      <c r="G64" s="113">
        <f>H64+I64+J64</f>
        <v>0</v>
      </c>
      <c r="H64" s="113">
        <f>SUM(H65:H74)</f>
        <v>0</v>
      </c>
      <c r="I64" s="113">
        <f t="shared" ref="I64:V64" si="24">SUM(I65:I74)</f>
        <v>0</v>
      </c>
      <c r="J64" s="113">
        <f t="shared" si="24"/>
        <v>0</v>
      </c>
      <c r="K64" s="113">
        <f t="shared" si="4"/>
        <v>0</v>
      </c>
      <c r="L64" s="237">
        <f t="shared" ref="L64:M64" si="25">SUM(L65:L74)</f>
        <v>0</v>
      </c>
      <c r="M64" s="237">
        <f t="shared" si="25"/>
        <v>0</v>
      </c>
      <c r="N64" s="113">
        <f t="shared" si="24"/>
        <v>0</v>
      </c>
      <c r="O64" s="113">
        <f t="shared" si="6"/>
        <v>0</v>
      </c>
      <c r="P64" s="113">
        <f t="shared" si="24"/>
        <v>0</v>
      </c>
      <c r="Q64" s="113">
        <f t="shared" si="24"/>
        <v>0</v>
      </c>
      <c r="R64" s="113">
        <f t="shared" si="24"/>
        <v>0</v>
      </c>
      <c r="S64" s="113">
        <f t="shared" si="7"/>
        <v>0</v>
      </c>
      <c r="T64" s="113">
        <f t="shared" si="24"/>
        <v>0</v>
      </c>
      <c r="U64" s="113">
        <f t="shared" si="24"/>
        <v>0</v>
      </c>
      <c r="V64" s="113">
        <f t="shared" si="24"/>
        <v>0</v>
      </c>
    </row>
    <row r="65" spans="2:22" ht="17.25" customHeight="1" outlineLevel="1" x14ac:dyDescent="0.25">
      <c r="B65" s="123">
        <v>1</v>
      </c>
      <c r="C65" s="124"/>
      <c r="D65" s="124"/>
      <c r="E65" s="121"/>
      <c r="F65" s="120">
        <f t="shared" si="19"/>
        <v>0</v>
      </c>
      <c r="G65" s="126">
        <f t="shared" ref="G65:G74" si="26">H65+I65+J65</f>
        <v>0</v>
      </c>
      <c r="H65" s="120"/>
      <c r="I65" s="120"/>
      <c r="J65" s="120"/>
      <c r="K65" s="126">
        <f t="shared" si="4"/>
        <v>0</v>
      </c>
      <c r="L65" s="120"/>
      <c r="M65" s="120"/>
      <c r="N65" s="120"/>
      <c r="O65" s="126">
        <f t="shared" si="6"/>
        <v>0</v>
      </c>
      <c r="P65" s="120"/>
      <c r="Q65" s="120"/>
      <c r="R65" s="120"/>
      <c r="S65" s="126">
        <f t="shared" si="7"/>
        <v>0</v>
      </c>
      <c r="T65" s="120"/>
      <c r="U65" s="120"/>
      <c r="V65" s="120"/>
    </row>
    <row r="66" spans="2:22" ht="17.25" customHeight="1" outlineLevel="1" x14ac:dyDescent="0.25">
      <c r="B66" s="123">
        <v>2</v>
      </c>
      <c r="C66" s="124"/>
      <c r="D66" s="124"/>
      <c r="E66" s="121"/>
      <c r="F66" s="120">
        <f t="shared" si="19"/>
        <v>0</v>
      </c>
      <c r="G66" s="126">
        <f t="shared" si="26"/>
        <v>0</v>
      </c>
      <c r="H66" s="120"/>
      <c r="I66" s="120"/>
      <c r="J66" s="120"/>
      <c r="K66" s="126">
        <f t="shared" si="4"/>
        <v>0</v>
      </c>
      <c r="L66" s="120"/>
      <c r="M66" s="120"/>
      <c r="N66" s="120"/>
      <c r="O66" s="126">
        <f t="shared" si="6"/>
        <v>0</v>
      </c>
      <c r="P66" s="120"/>
      <c r="Q66" s="120"/>
      <c r="R66" s="120"/>
      <c r="S66" s="126">
        <f t="shared" si="7"/>
        <v>0</v>
      </c>
      <c r="T66" s="120"/>
      <c r="U66" s="120"/>
      <c r="V66" s="120"/>
    </row>
    <row r="67" spans="2:22" ht="17.25" customHeight="1" outlineLevel="1" x14ac:dyDescent="0.25">
      <c r="B67" s="123">
        <v>3</v>
      </c>
      <c r="C67" s="124"/>
      <c r="D67" s="124"/>
      <c r="E67" s="121"/>
      <c r="F67" s="120">
        <f t="shared" si="19"/>
        <v>0</v>
      </c>
      <c r="G67" s="126">
        <f t="shared" si="26"/>
        <v>0</v>
      </c>
      <c r="H67" s="120"/>
      <c r="I67" s="120"/>
      <c r="J67" s="120"/>
      <c r="K67" s="126">
        <f t="shared" si="4"/>
        <v>0</v>
      </c>
      <c r="L67" s="120"/>
      <c r="M67" s="120"/>
      <c r="N67" s="120"/>
      <c r="O67" s="126">
        <f t="shared" si="6"/>
        <v>0</v>
      </c>
      <c r="P67" s="120"/>
      <c r="Q67" s="120"/>
      <c r="R67" s="120"/>
      <c r="S67" s="126">
        <f t="shared" si="7"/>
        <v>0</v>
      </c>
      <c r="T67" s="120"/>
      <c r="U67" s="120"/>
      <c r="V67" s="120"/>
    </row>
    <row r="68" spans="2:22" ht="17.25" customHeight="1" outlineLevel="1" x14ac:dyDescent="0.25">
      <c r="B68" s="123">
        <v>4</v>
      </c>
      <c r="C68" s="124"/>
      <c r="D68" s="124"/>
      <c r="E68" s="121"/>
      <c r="F68" s="120">
        <f t="shared" si="19"/>
        <v>0</v>
      </c>
      <c r="G68" s="126">
        <f t="shared" si="26"/>
        <v>0</v>
      </c>
      <c r="H68" s="120"/>
      <c r="I68" s="120"/>
      <c r="J68" s="120"/>
      <c r="K68" s="126">
        <f t="shared" si="4"/>
        <v>0</v>
      </c>
      <c r="L68" s="120"/>
      <c r="M68" s="120"/>
      <c r="N68" s="120"/>
      <c r="O68" s="126">
        <f t="shared" si="6"/>
        <v>0</v>
      </c>
      <c r="P68" s="120"/>
      <c r="Q68" s="120"/>
      <c r="R68" s="120"/>
      <c r="S68" s="126">
        <f t="shared" si="7"/>
        <v>0</v>
      </c>
      <c r="T68" s="120"/>
      <c r="U68" s="120"/>
      <c r="V68" s="120"/>
    </row>
    <row r="69" spans="2:22" ht="17.25" customHeight="1" outlineLevel="1" x14ac:dyDescent="0.25">
      <c r="B69" s="123">
        <v>5</v>
      </c>
      <c r="C69" s="124"/>
      <c r="D69" s="124"/>
      <c r="E69" s="121"/>
      <c r="F69" s="120">
        <f t="shared" si="19"/>
        <v>0</v>
      </c>
      <c r="G69" s="126">
        <f t="shared" si="26"/>
        <v>0</v>
      </c>
      <c r="H69" s="120"/>
      <c r="I69" s="120"/>
      <c r="J69" s="120"/>
      <c r="K69" s="126">
        <f t="shared" si="4"/>
        <v>0</v>
      </c>
      <c r="L69" s="120"/>
      <c r="M69" s="120"/>
      <c r="N69" s="120"/>
      <c r="O69" s="126">
        <f t="shared" si="6"/>
        <v>0</v>
      </c>
      <c r="P69" s="120"/>
      <c r="Q69" s="120"/>
      <c r="R69" s="120"/>
      <c r="S69" s="126">
        <f t="shared" si="7"/>
        <v>0</v>
      </c>
      <c r="T69" s="120"/>
      <c r="U69" s="120"/>
      <c r="V69" s="120"/>
    </row>
    <row r="70" spans="2:22" ht="17.25" customHeight="1" outlineLevel="1" x14ac:dyDescent="0.25">
      <c r="B70" s="123">
        <v>6</v>
      </c>
      <c r="C70" s="124"/>
      <c r="D70" s="124"/>
      <c r="E70" s="121"/>
      <c r="F70" s="120">
        <f t="shared" si="19"/>
        <v>0</v>
      </c>
      <c r="G70" s="126">
        <f t="shared" si="26"/>
        <v>0</v>
      </c>
      <c r="H70" s="120"/>
      <c r="I70" s="120"/>
      <c r="J70" s="120"/>
      <c r="K70" s="126">
        <f t="shared" si="4"/>
        <v>0</v>
      </c>
      <c r="L70" s="120"/>
      <c r="M70" s="120"/>
      <c r="N70" s="120"/>
      <c r="O70" s="126">
        <f t="shared" si="6"/>
        <v>0</v>
      </c>
      <c r="P70" s="120"/>
      <c r="Q70" s="120"/>
      <c r="R70" s="120"/>
      <c r="S70" s="126">
        <f t="shared" si="7"/>
        <v>0</v>
      </c>
      <c r="T70" s="120"/>
      <c r="U70" s="120"/>
      <c r="V70" s="120"/>
    </row>
    <row r="71" spans="2:22" ht="17.25" customHeight="1" outlineLevel="1" x14ac:dyDescent="0.25">
      <c r="B71" s="123">
        <v>7</v>
      </c>
      <c r="C71" s="124"/>
      <c r="D71" s="124"/>
      <c r="E71" s="121"/>
      <c r="F71" s="120">
        <f t="shared" ref="F71:F74" si="27">G71+K71+O71+S71</f>
        <v>0</v>
      </c>
      <c r="G71" s="126">
        <f t="shared" si="26"/>
        <v>0</v>
      </c>
      <c r="H71" s="120"/>
      <c r="I71" s="120"/>
      <c r="J71" s="120"/>
      <c r="K71" s="126">
        <f t="shared" si="4"/>
        <v>0</v>
      </c>
      <c r="L71" s="120"/>
      <c r="M71" s="120"/>
      <c r="N71" s="120"/>
      <c r="O71" s="126">
        <f t="shared" si="6"/>
        <v>0</v>
      </c>
      <c r="P71" s="120"/>
      <c r="Q71" s="120"/>
      <c r="R71" s="120"/>
      <c r="S71" s="126">
        <f t="shared" si="7"/>
        <v>0</v>
      </c>
      <c r="T71" s="120"/>
      <c r="U71" s="120"/>
      <c r="V71" s="120"/>
    </row>
    <row r="72" spans="2:22" ht="17.25" customHeight="1" outlineLevel="1" x14ac:dyDescent="0.25">
      <c r="B72" s="123">
        <v>8</v>
      </c>
      <c r="C72" s="124"/>
      <c r="D72" s="124"/>
      <c r="E72" s="121"/>
      <c r="F72" s="120">
        <f t="shared" si="27"/>
        <v>0</v>
      </c>
      <c r="G72" s="126">
        <f t="shared" si="26"/>
        <v>0</v>
      </c>
      <c r="H72" s="120"/>
      <c r="I72" s="120"/>
      <c r="J72" s="120"/>
      <c r="K72" s="126">
        <f t="shared" ref="K72:K74" si="28">L72+M72+N72</f>
        <v>0</v>
      </c>
      <c r="L72" s="120"/>
      <c r="M72" s="120"/>
      <c r="N72" s="120"/>
      <c r="O72" s="126">
        <f t="shared" ref="O72:O74" si="29">P72+Q72+R72</f>
        <v>0</v>
      </c>
      <c r="P72" s="120"/>
      <c r="Q72" s="120"/>
      <c r="R72" s="120"/>
      <c r="S72" s="126">
        <f t="shared" ref="S72:S74" si="30">T72+U72+V72</f>
        <v>0</v>
      </c>
      <c r="T72" s="120"/>
      <c r="U72" s="120"/>
      <c r="V72" s="120"/>
    </row>
    <row r="73" spans="2:22" ht="17.25" customHeight="1" outlineLevel="1" x14ac:dyDescent="0.25">
      <c r="B73" s="123">
        <v>9</v>
      </c>
      <c r="C73" s="124"/>
      <c r="D73" s="124"/>
      <c r="E73" s="121"/>
      <c r="F73" s="120">
        <f t="shared" si="27"/>
        <v>0</v>
      </c>
      <c r="G73" s="126">
        <f t="shared" si="26"/>
        <v>0</v>
      </c>
      <c r="H73" s="120"/>
      <c r="I73" s="120"/>
      <c r="J73" s="120"/>
      <c r="K73" s="126">
        <f t="shared" si="28"/>
        <v>0</v>
      </c>
      <c r="L73" s="120"/>
      <c r="M73" s="120"/>
      <c r="N73" s="120"/>
      <c r="O73" s="126">
        <f t="shared" si="29"/>
        <v>0</v>
      </c>
      <c r="P73" s="120"/>
      <c r="Q73" s="120"/>
      <c r="R73" s="120"/>
      <c r="S73" s="126">
        <f t="shared" si="30"/>
        <v>0</v>
      </c>
      <c r="T73" s="120"/>
      <c r="U73" s="120"/>
      <c r="V73" s="120"/>
    </row>
    <row r="74" spans="2:22" ht="17.25" customHeight="1" outlineLevel="1" x14ac:dyDescent="0.25">
      <c r="B74" s="123">
        <v>10</v>
      </c>
      <c r="C74" s="124"/>
      <c r="D74" s="124"/>
      <c r="E74" s="121"/>
      <c r="F74" s="120">
        <f t="shared" si="27"/>
        <v>0</v>
      </c>
      <c r="G74" s="126">
        <f t="shared" si="26"/>
        <v>0</v>
      </c>
      <c r="H74" s="120"/>
      <c r="I74" s="120"/>
      <c r="J74" s="120"/>
      <c r="K74" s="126">
        <f t="shared" si="28"/>
        <v>0</v>
      </c>
      <c r="L74" s="120"/>
      <c r="M74" s="120"/>
      <c r="N74" s="120"/>
      <c r="O74" s="126">
        <f t="shared" si="29"/>
        <v>0</v>
      </c>
      <c r="P74" s="120"/>
      <c r="Q74" s="120"/>
      <c r="R74" s="120"/>
      <c r="S74" s="126">
        <f t="shared" si="30"/>
        <v>0</v>
      </c>
      <c r="T74" s="120"/>
      <c r="U74" s="120"/>
      <c r="V74" s="120"/>
    </row>
  </sheetData>
  <mergeCells count="11">
    <mergeCell ref="B7:C7"/>
    <mergeCell ref="D5:F5"/>
    <mergeCell ref="B5:B6"/>
    <mergeCell ref="U1:V1"/>
    <mergeCell ref="C2:V2"/>
    <mergeCell ref="U3:V3"/>
    <mergeCell ref="C5:C6"/>
    <mergeCell ref="L5:N5"/>
    <mergeCell ref="P5:R5"/>
    <mergeCell ref="T5:V5"/>
    <mergeCell ref="H5:J5"/>
  </mergeCells>
  <pageMargins left="0.7" right="0.7" top="0.75" bottom="0.75" header="0.3" footer="0.3"/>
  <pageSetup paperSize="9" orientation="portrait" horizontalDpi="4294967294" verticalDpi="0" r:id="rId1"/>
  <ignoredErrors>
    <ignoredError sqref="G7 S7:S8 O7:O8 K7:K8 V31 F8 F64 F42" formula="1"/>
    <ignoredError sqref="P32:R41 N32:N41 H32:J41 H9:J9 T9:U9 P9:R9 N9:N12 G65:J74 H44:J64 G43:J43 H42:J42 N44:N64 N43 N42 P44:R64 P43:R43 P42:R42 T44:U64 T43:U43 T42:U42 G32:G41 K32:K41 O32:O41 S32:U41 K65:K74 O65:R74 S65:U74 H12:I12 J10 H14:J30 N65:N74 N14:N30 P11:R12 R10 P14:R30 T11:U11 U10 T14:U30" unlockedFormula="1"/>
    <ignoredError sqref="S42:S64 O42:O64 K42:K64 G42 G44:G64 K9:K10 O9:O30 S9:S30 G9:G10 G31:J31 F20:F30 F65:F74 F31:F41 F9:F10 F12 F43:F63 K31 O31:R31 S31:U31 G14:G30 F14:F19 G12 N31 K12:K3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3"/>
  <sheetViews>
    <sheetView zoomScale="77" zoomScaleNormal="77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22" sqref="D122"/>
    </sheetView>
  </sheetViews>
  <sheetFormatPr defaultRowHeight="18" x14ac:dyDescent="0.2"/>
  <cols>
    <col min="1" max="1" width="3.5703125" style="127" customWidth="1"/>
    <col min="2" max="2" width="15" style="10" customWidth="1"/>
    <col min="3" max="3" width="68.5703125" style="10" customWidth="1"/>
    <col min="4" max="4" width="23" style="10" customWidth="1"/>
    <col min="5" max="6" width="22.140625" style="10" customWidth="1"/>
    <col min="7" max="7" width="22.42578125" style="10" customWidth="1"/>
    <col min="8" max="9" width="17.5703125" style="129" customWidth="1"/>
    <col min="10" max="11" width="20.7109375" style="10" customWidth="1"/>
    <col min="12" max="17" width="17.5703125" style="10" customWidth="1"/>
    <col min="18" max="19" width="16.140625" style="10" customWidth="1"/>
    <col min="20" max="27" width="17.5703125" style="10" customWidth="1"/>
    <col min="28" max="28" width="12.85546875" style="10" customWidth="1"/>
    <col min="29" max="29" width="11.5703125" style="10" customWidth="1"/>
    <col min="30" max="34" width="11.5703125" style="11" customWidth="1"/>
    <col min="35" max="252" width="9.140625" style="11"/>
    <col min="253" max="253" width="3.5703125" style="11" customWidth="1"/>
    <col min="254" max="254" width="2.7109375" style="11" customWidth="1"/>
    <col min="255" max="255" width="15" style="11" customWidth="1"/>
    <col min="256" max="256" width="68.5703125" style="11" customWidth="1"/>
    <col min="257" max="257" width="0" style="11" hidden="1" customWidth="1"/>
    <col min="258" max="258" width="22.140625" style="11" customWidth="1"/>
    <col min="259" max="259" width="22.42578125" style="11" customWidth="1"/>
    <col min="260" max="261" width="17.5703125" style="11" customWidth="1"/>
    <col min="262" max="263" width="20.7109375" style="11" customWidth="1"/>
    <col min="264" max="269" width="17.5703125" style="11" customWidth="1"/>
    <col min="270" max="271" width="16.140625" style="11" customWidth="1"/>
    <col min="272" max="281" width="17.5703125" style="11" customWidth="1"/>
    <col min="282" max="283" width="19.7109375" style="11" customWidth="1"/>
    <col min="284" max="284" width="12.85546875" style="11" customWidth="1"/>
    <col min="285" max="290" width="11.5703125" style="11" customWidth="1"/>
    <col min="291" max="508" width="9.140625" style="11"/>
    <col min="509" max="509" width="3.5703125" style="11" customWidth="1"/>
    <col min="510" max="510" width="2.7109375" style="11" customWidth="1"/>
    <col min="511" max="511" width="15" style="11" customWidth="1"/>
    <col min="512" max="512" width="68.5703125" style="11" customWidth="1"/>
    <col min="513" max="513" width="0" style="11" hidden="1" customWidth="1"/>
    <col min="514" max="514" width="22.140625" style="11" customWidth="1"/>
    <col min="515" max="515" width="22.42578125" style="11" customWidth="1"/>
    <col min="516" max="517" width="17.5703125" style="11" customWidth="1"/>
    <col min="518" max="519" width="20.7109375" style="11" customWidth="1"/>
    <col min="520" max="525" width="17.5703125" style="11" customWidth="1"/>
    <col min="526" max="527" width="16.140625" style="11" customWidth="1"/>
    <col min="528" max="537" width="17.5703125" style="11" customWidth="1"/>
    <col min="538" max="539" width="19.7109375" style="11" customWidth="1"/>
    <col min="540" max="540" width="12.85546875" style="11" customWidth="1"/>
    <col min="541" max="546" width="11.5703125" style="11" customWidth="1"/>
    <col min="547" max="764" width="9.140625" style="11"/>
    <col min="765" max="765" width="3.5703125" style="11" customWidth="1"/>
    <col min="766" max="766" width="2.7109375" style="11" customWidth="1"/>
    <col min="767" max="767" width="15" style="11" customWidth="1"/>
    <col min="768" max="768" width="68.5703125" style="11" customWidth="1"/>
    <col min="769" max="769" width="0" style="11" hidden="1" customWidth="1"/>
    <col min="770" max="770" width="22.140625" style="11" customWidth="1"/>
    <col min="771" max="771" width="22.42578125" style="11" customWidth="1"/>
    <col min="772" max="773" width="17.5703125" style="11" customWidth="1"/>
    <col min="774" max="775" width="20.7109375" style="11" customWidth="1"/>
    <col min="776" max="781" width="17.5703125" style="11" customWidth="1"/>
    <col min="782" max="783" width="16.140625" style="11" customWidth="1"/>
    <col min="784" max="793" width="17.5703125" style="11" customWidth="1"/>
    <col min="794" max="795" width="19.7109375" style="11" customWidth="1"/>
    <col min="796" max="796" width="12.85546875" style="11" customWidth="1"/>
    <col min="797" max="802" width="11.5703125" style="11" customWidth="1"/>
    <col min="803" max="1020" width="9.140625" style="11"/>
    <col min="1021" max="1021" width="3.5703125" style="11" customWidth="1"/>
    <col min="1022" max="1022" width="2.7109375" style="11" customWidth="1"/>
    <col min="1023" max="1023" width="15" style="11" customWidth="1"/>
    <col min="1024" max="1024" width="68.5703125" style="11" customWidth="1"/>
    <col min="1025" max="1025" width="0" style="11" hidden="1" customWidth="1"/>
    <col min="1026" max="1026" width="22.140625" style="11" customWidth="1"/>
    <col min="1027" max="1027" width="22.42578125" style="11" customWidth="1"/>
    <col min="1028" max="1029" width="17.5703125" style="11" customWidth="1"/>
    <col min="1030" max="1031" width="20.7109375" style="11" customWidth="1"/>
    <col min="1032" max="1037" width="17.5703125" style="11" customWidth="1"/>
    <col min="1038" max="1039" width="16.140625" style="11" customWidth="1"/>
    <col min="1040" max="1049" width="17.5703125" style="11" customWidth="1"/>
    <col min="1050" max="1051" width="19.7109375" style="11" customWidth="1"/>
    <col min="1052" max="1052" width="12.85546875" style="11" customWidth="1"/>
    <col min="1053" max="1058" width="11.5703125" style="11" customWidth="1"/>
    <col min="1059" max="1276" width="9.140625" style="11"/>
    <col min="1277" max="1277" width="3.5703125" style="11" customWidth="1"/>
    <col min="1278" max="1278" width="2.7109375" style="11" customWidth="1"/>
    <col min="1279" max="1279" width="15" style="11" customWidth="1"/>
    <col min="1280" max="1280" width="68.5703125" style="11" customWidth="1"/>
    <col min="1281" max="1281" width="0" style="11" hidden="1" customWidth="1"/>
    <col min="1282" max="1282" width="22.140625" style="11" customWidth="1"/>
    <col min="1283" max="1283" width="22.42578125" style="11" customWidth="1"/>
    <col min="1284" max="1285" width="17.5703125" style="11" customWidth="1"/>
    <col min="1286" max="1287" width="20.7109375" style="11" customWidth="1"/>
    <col min="1288" max="1293" width="17.5703125" style="11" customWidth="1"/>
    <col min="1294" max="1295" width="16.140625" style="11" customWidth="1"/>
    <col min="1296" max="1305" width="17.5703125" style="11" customWidth="1"/>
    <col min="1306" max="1307" width="19.7109375" style="11" customWidth="1"/>
    <col min="1308" max="1308" width="12.85546875" style="11" customWidth="1"/>
    <col min="1309" max="1314" width="11.5703125" style="11" customWidth="1"/>
    <col min="1315" max="1532" width="9.140625" style="11"/>
    <col min="1533" max="1533" width="3.5703125" style="11" customWidth="1"/>
    <col min="1534" max="1534" width="2.7109375" style="11" customWidth="1"/>
    <col min="1535" max="1535" width="15" style="11" customWidth="1"/>
    <col min="1536" max="1536" width="68.5703125" style="11" customWidth="1"/>
    <col min="1537" max="1537" width="0" style="11" hidden="1" customWidth="1"/>
    <col min="1538" max="1538" width="22.140625" style="11" customWidth="1"/>
    <col min="1539" max="1539" width="22.42578125" style="11" customWidth="1"/>
    <col min="1540" max="1541" width="17.5703125" style="11" customWidth="1"/>
    <col min="1542" max="1543" width="20.7109375" style="11" customWidth="1"/>
    <col min="1544" max="1549" width="17.5703125" style="11" customWidth="1"/>
    <col min="1550" max="1551" width="16.140625" style="11" customWidth="1"/>
    <col min="1552" max="1561" width="17.5703125" style="11" customWidth="1"/>
    <col min="1562" max="1563" width="19.7109375" style="11" customWidth="1"/>
    <col min="1564" max="1564" width="12.85546875" style="11" customWidth="1"/>
    <col min="1565" max="1570" width="11.5703125" style="11" customWidth="1"/>
    <col min="1571" max="1788" width="9.140625" style="11"/>
    <col min="1789" max="1789" width="3.5703125" style="11" customWidth="1"/>
    <col min="1790" max="1790" width="2.7109375" style="11" customWidth="1"/>
    <col min="1791" max="1791" width="15" style="11" customWidth="1"/>
    <col min="1792" max="1792" width="68.5703125" style="11" customWidth="1"/>
    <col min="1793" max="1793" width="0" style="11" hidden="1" customWidth="1"/>
    <col min="1794" max="1794" width="22.140625" style="11" customWidth="1"/>
    <col min="1795" max="1795" width="22.42578125" style="11" customWidth="1"/>
    <col min="1796" max="1797" width="17.5703125" style="11" customWidth="1"/>
    <col min="1798" max="1799" width="20.7109375" style="11" customWidth="1"/>
    <col min="1800" max="1805" width="17.5703125" style="11" customWidth="1"/>
    <col min="1806" max="1807" width="16.140625" style="11" customWidth="1"/>
    <col min="1808" max="1817" width="17.5703125" style="11" customWidth="1"/>
    <col min="1818" max="1819" width="19.7109375" style="11" customWidth="1"/>
    <col min="1820" max="1820" width="12.85546875" style="11" customWidth="1"/>
    <col min="1821" max="1826" width="11.5703125" style="11" customWidth="1"/>
    <col min="1827" max="2044" width="9.140625" style="11"/>
    <col min="2045" max="2045" width="3.5703125" style="11" customWidth="1"/>
    <col min="2046" max="2046" width="2.7109375" style="11" customWidth="1"/>
    <col min="2047" max="2047" width="15" style="11" customWidth="1"/>
    <col min="2048" max="2048" width="68.5703125" style="11" customWidth="1"/>
    <col min="2049" max="2049" width="0" style="11" hidden="1" customWidth="1"/>
    <col min="2050" max="2050" width="22.140625" style="11" customWidth="1"/>
    <col min="2051" max="2051" width="22.42578125" style="11" customWidth="1"/>
    <col min="2052" max="2053" width="17.5703125" style="11" customWidth="1"/>
    <col min="2054" max="2055" width="20.7109375" style="11" customWidth="1"/>
    <col min="2056" max="2061" width="17.5703125" style="11" customWidth="1"/>
    <col min="2062" max="2063" width="16.140625" style="11" customWidth="1"/>
    <col min="2064" max="2073" width="17.5703125" style="11" customWidth="1"/>
    <col min="2074" max="2075" width="19.7109375" style="11" customWidth="1"/>
    <col min="2076" max="2076" width="12.85546875" style="11" customWidth="1"/>
    <col min="2077" max="2082" width="11.5703125" style="11" customWidth="1"/>
    <col min="2083" max="2300" width="9.140625" style="11"/>
    <col min="2301" max="2301" width="3.5703125" style="11" customWidth="1"/>
    <col min="2302" max="2302" width="2.7109375" style="11" customWidth="1"/>
    <col min="2303" max="2303" width="15" style="11" customWidth="1"/>
    <col min="2304" max="2304" width="68.5703125" style="11" customWidth="1"/>
    <col min="2305" max="2305" width="0" style="11" hidden="1" customWidth="1"/>
    <col min="2306" max="2306" width="22.140625" style="11" customWidth="1"/>
    <col min="2307" max="2307" width="22.42578125" style="11" customWidth="1"/>
    <col min="2308" max="2309" width="17.5703125" style="11" customWidth="1"/>
    <col min="2310" max="2311" width="20.7109375" style="11" customWidth="1"/>
    <col min="2312" max="2317" width="17.5703125" style="11" customWidth="1"/>
    <col min="2318" max="2319" width="16.140625" style="11" customWidth="1"/>
    <col min="2320" max="2329" width="17.5703125" style="11" customWidth="1"/>
    <col min="2330" max="2331" width="19.7109375" style="11" customWidth="1"/>
    <col min="2332" max="2332" width="12.85546875" style="11" customWidth="1"/>
    <col min="2333" max="2338" width="11.5703125" style="11" customWidth="1"/>
    <col min="2339" max="2556" width="9.140625" style="11"/>
    <col min="2557" max="2557" width="3.5703125" style="11" customWidth="1"/>
    <col min="2558" max="2558" width="2.7109375" style="11" customWidth="1"/>
    <col min="2559" max="2559" width="15" style="11" customWidth="1"/>
    <col min="2560" max="2560" width="68.5703125" style="11" customWidth="1"/>
    <col min="2561" max="2561" width="0" style="11" hidden="1" customWidth="1"/>
    <col min="2562" max="2562" width="22.140625" style="11" customWidth="1"/>
    <col min="2563" max="2563" width="22.42578125" style="11" customWidth="1"/>
    <col min="2564" max="2565" width="17.5703125" style="11" customWidth="1"/>
    <col min="2566" max="2567" width="20.7109375" style="11" customWidth="1"/>
    <col min="2568" max="2573" width="17.5703125" style="11" customWidth="1"/>
    <col min="2574" max="2575" width="16.140625" style="11" customWidth="1"/>
    <col min="2576" max="2585" width="17.5703125" style="11" customWidth="1"/>
    <col min="2586" max="2587" width="19.7109375" style="11" customWidth="1"/>
    <col min="2588" max="2588" width="12.85546875" style="11" customWidth="1"/>
    <col min="2589" max="2594" width="11.5703125" style="11" customWidth="1"/>
    <col min="2595" max="2812" width="9.140625" style="11"/>
    <col min="2813" max="2813" width="3.5703125" style="11" customWidth="1"/>
    <col min="2814" max="2814" width="2.7109375" style="11" customWidth="1"/>
    <col min="2815" max="2815" width="15" style="11" customWidth="1"/>
    <col min="2816" max="2816" width="68.5703125" style="11" customWidth="1"/>
    <col min="2817" max="2817" width="0" style="11" hidden="1" customWidth="1"/>
    <col min="2818" max="2818" width="22.140625" style="11" customWidth="1"/>
    <col min="2819" max="2819" width="22.42578125" style="11" customWidth="1"/>
    <col min="2820" max="2821" width="17.5703125" style="11" customWidth="1"/>
    <col min="2822" max="2823" width="20.7109375" style="11" customWidth="1"/>
    <col min="2824" max="2829" width="17.5703125" style="11" customWidth="1"/>
    <col min="2830" max="2831" width="16.140625" style="11" customWidth="1"/>
    <col min="2832" max="2841" width="17.5703125" style="11" customWidth="1"/>
    <col min="2842" max="2843" width="19.7109375" style="11" customWidth="1"/>
    <col min="2844" max="2844" width="12.85546875" style="11" customWidth="1"/>
    <col min="2845" max="2850" width="11.5703125" style="11" customWidth="1"/>
    <col min="2851" max="3068" width="9.140625" style="11"/>
    <col min="3069" max="3069" width="3.5703125" style="11" customWidth="1"/>
    <col min="3070" max="3070" width="2.7109375" style="11" customWidth="1"/>
    <col min="3071" max="3071" width="15" style="11" customWidth="1"/>
    <col min="3072" max="3072" width="68.5703125" style="11" customWidth="1"/>
    <col min="3073" max="3073" width="0" style="11" hidden="1" customWidth="1"/>
    <col min="3074" max="3074" width="22.140625" style="11" customWidth="1"/>
    <col min="3075" max="3075" width="22.42578125" style="11" customWidth="1"/>
    <col min="3076" max="3077" width="17.5703125" style="11" customWidth="1"/>
    <col min="3078" max="3079" width="20.7109375" style="11" customWidth="1"/>
    <col min="3080" max="3085" width="17.5703125" style="11" customWidth="1"/>
    <col min="3086" max="3087" width="16.140625" style="11" customWidth="1"/>
    <col min="3088" max="3097" width="17.5703125" style="11" customWidth="1"/>
    <col min="3098" max="3099" width="19.7109375" style="11" customWidth="1"/>
    <col min="3100" max="3100" width="12.85546875" style="11" customWidth="1"/>
    <col min="3101" max="3106" width="11.5703125" style="11" customWidth="1"/>
    <col min="3107" max="3324" width="9.140625" style="11"/>
    <col min="3325" max="3325" width="3.5703125" style="11" customWidth="1"/>
    <col min="3326" max="3326" width="2.7109375" style="11" customWidth="1"/>
    <col min="3327" max="3327" width="15" style="11" customWidth="1"/>
    <col min="3328" max="3328" width="68.5703125" style="11" customWidth="1"/>
    <col min="3329" max="3329" width="0" style="11" hidden="1" customWidth="1"/>
    <col min="3330" max="3330" width="22.140625" style="11" customWidth="1"/>
    <col min="3331" max="3331" width="22.42578125" style="11" customWidth="1"/>
    <col min="3332" max="3333" width="17.5703125" style="11" customWidth="1"/>
    <col min="3334" max="3335" width="20.7109375" style="11" customWidth="1"/>
    <col min="3336" max="3341" width="17.5703125" style="11" customWidth="1"/>
    <col min="3342" max="3343" width="16.140625" style="11" customWidth="1"/>
    <col min="3344" max="3353" width="17.5703125" style="11" customWidth="1"/>
    <col min="3354" max="3355" width="19.7109375" style="11" customWidth="1"/>
    <col min="3356" max="3356" width="12.85546875" style="11" customWidth="1"/>
    <col min="3357" max="3362" width="11.5703125" style="11" customWidth="1"/>
    <col min="3363" max="3580" width="9.140625" style="11"/>
    <col min="3581" max="3581" width="3.5703125" style="11" customWidth="1"/>
    <col min="3582" max="3582" width="2.7109375" style="11" customWidth="1"/>
    <col min="3583" max="3583" width="15" style="11" customWidth="1"/>
    <col min="3584" max="3584" width="68.5703125" style="11" customWidth="1"/>
    <col min="3585" max="3585" width="0" style="11" hidden="1" customWidth="1"/>
    <col min="3586" max="3586" width="22.140625" style="11" customWidth="1"/>
    <col min="3587" max="3587" width="22.42578125" style="11" customWidth="1"/>
    <col min="3588" max="3589" width="17.5703125" style="11" customWidth="1"/>
    <col min="3590" max="3591" width="20.7109375" style="11" customWidth="1"/>
    <col min="3592" max="3597" width="17.5703125" style="11" customWidth="1"/>
    <col min="3598" max="3599" width="16.140625" style="11" customWidth="1"/>
    <col min="3600" max="3609" width="17.5703125" style="11" customWidth="1"/>
    <col min="3610" max="3611" width="19.7109375" style="11" customWidth="1"/>
    <col min="3612" max="3612" width="12.85546875" style="11" customWidth="1"/>
    <col min="3613" max="3618" width="11.5703125" style="11" customWidth="1"/>
    <col min="3619" max="3836" width="9.140625" style="11"/>
    <col min="3837" max="3837" width="3.5703125" style="11" customWidth="1"/>
    <col min="3838" max="3838" width="2.7109375" style="11" customWidth="1"/>
    <col min="3839" max="3839" width="15" style="11" customWidth="1"/>
    <col min="3840" max="3840" width="68.5703125" style="11" customWidth="1"/>
    <col min="3841" max="3841" width="0" style="11" hidden="1" customWidth="1"/>
    <col min="3842" max="3842" width="22.140625" style="11" customWidth="1"/>
    <col min="3843" max="3843" width="22.42578125" style="11" customWidth="1"/>
    <col min="3844" max="3845" width="17.5703125" style="11" customWidth="1"/>
    <col min="3846" max="3847" width="20.7109375" style="11" customWidth="1"/>
    <col min="3848" max="3853" width="17.5703125" style="11" customWidth="1"/>
    <col min="3854" max="3855" width="16.140625" style="11" customWidth="1"/>
    <col min="3856" max="3865" width="17.5703125" style="11" customWidth="1"/>
    <col min="3866" max="3867" width="19.7109375" style="11" customWidth="1"/>
    <col min="3868" max="3868" width="12.85546875" style="11" customWidth="1"/>
    <col min="3869" max="3874" width="11.5703125" style="11" customWidth="1"/>
    <col min="3875" max="4092" width="9.140625" style="11"/>
    <col min="4093" max="4093" width="3.5703125" style="11" customWidth="1"/>
    <col min="4094" max="4094" width="2.7109375" style="11" customWidth="1"/>
    <col min="4095" max="4095" width="15" style="11" customWidth="1"/>
    <col min="4096" max="4096" width="68.5703125" style="11" customWidth="1"/>
    <col min="4097" max="4097" width="0" style="11" hidden="1" customWidth="1"/>
    <col min="4098" max="4098" width="22.140625" style="11" customWidth="1"/>
    <col min="4099" max="4099" width="22.42578125" style="11" customWidth="1"/>
    <col min="4100" max="4101" width="17.5703125" style="11" customWidth="1"/>
    <col min="4102" max="4103" width="20.7109375" style="11" customWidth="1"/>
    <col min="4104" max="4109" width="17.5703125" style="11" customWidth="1"/>
    <col min="4110" max="4111" width="16.140625" style="11" customWidth="1"/>
    <col min="4112" max="4121" width="17.5703125" style="11" customWidth="1"/>
    <col min="4122" max="4123" width="19.7109375" style="11" customWidth="1"/>
    <col min="4124" max="4124" width="12.85546875" style="11" customWidth="1"/>
    <col min="4125" max="4130" width="11.5703125" style="11" customWidth="1"/>
    <col min="4131" max="4348" width="9.140625" style="11"/>
    <col min="4349" max="4349" width="3.5703125" style="11" customWidth="1"/>
    <col min="4350" max="4350" width="2.7109375" style="11" customWidth="1"/>
    <col min="4351" max="4351" width="15" style="11" customWidth="1"/>
    <col min="4352" max="4352" width="68.5703125" style="11" customWidth="1"/>
    <col min="4353" max="4353" width="0" style="11" hidden="1" customWidth="1"/>
    <col min="4354" max="4354" width="22.140625" style="11" customWidth="1"/>
    <col min="4355" max="4355" width="22.42578125" style="11" customWidth="1"/>
    <col min="4356" max="4357" width="17.5703125" style="11" customWidth="1"/>
    <col min="4358" max="4359" width="20.7109375" style="11" customWidth="1"/>
    <col min="4360" max="4365" width="17.5703125" style="11" customWidth="1"/>
    <col min="4366" max="4367" width="16.140625" style="11" customWidth="1"/>
    <col min="4368" max="4377" width="17.5703125" style="11" customWidth="1"/>
    <col min="4378" max="4379" width="19.7109375" style="11" customWidth="1"/>
    <col min="4380" max="4380" width="12.85546875" style="11" customWidth="1"/>
    <col min="4381" max="4386" width="11.5703125" style="11" customWidth="1"/>
    <col min="4387" max="4604" width="9.140625" style="11"/>
    <col min="4605" max="4605" width="3.5703125" style="11" customWidth="1"/>
    <col min="4606" max="4606" width="2.7109375" style="11" customWidth="1"/>
    <col min="4607" max="4607" width="15" style="11" customWidth="1"/>
    <col min="4608" max="4608" width="68.5703125" style="11" customWidth="1"/>
    <col min="4609" max="4609" width="0" style="11" hidden="1" customWidth="1"/>
    <col min="4610" max="4610" width="22.140625" style="11" customWidth="1"/>
    <col min="4611" max="4611" width="22.42578125" style="11" customWidth="1"/>
    <col min="4612" max="4613" width="17.5703125" style="11" customWidth="1"/>
    <col min="4614" max="4615" width="20.7109375" style="11" customWidth="1"/>
    <col min="4616" max="4621" width="17.5703125" style="11" customWidth="1"/>
    <col min="4622" max="4623" width="16.140625" style="11" customWidth="1"/>
    <col min="4624" max="4633" width="17.5703125" style="11" customWidth="1"/>
    <col min="4634" max="4635" width="19.7109375" style="11" customWidth="1"/>
    <col min="4636" max="4636" width="12.85546875" style="11" customWidth="1"/>
    <col min="4637" max="4642" width="11.5703125" style="11" customWidth="1"/>
    <col min="4643" max="4860" width="9.140625" style="11"/>
    <col min="4861" max="4861" width="3.5703125" style="11" customWidth="1"/>
    <col min="4862" max="4862" width="2.7109375" style="11" customWidth="1"/>
    <col min="4863" max="4863" width="15" style="11" customWidth="1"/>
    <col min="4864" max="4864" width="68.5703125" style="11" customWidth="1"/>
    <col min="4865" max="4865" width="0" style="11" hidden="1" customWidth="1"/>
    <col min="4866" max="4866" width="22.140625" style="11" customWidth="1"/>
    <col min="4867" max="4867" width="22.42578125" style="11" customWidth="1"/>
    <col min="4868" max="4869" width="17.5703125" style="11" customWidth="1"/>
    <col min="4870" max="4871" width="20.7109375" style="11" customWidth="1"/>
    <col min="4872" max="4877" width="17.5703125" style="11" customWidth="1"/>
    <col min="4878" max="4879" width="16.140625" style="11" customWidth="1"/>
    <col min="4880" max="4889" width="17.5703125" style="11" customWidth="1"/>
    <col min="4890" max="4891" width="19.7109375" style="11" customWidth="1"/>
    <col min="4892" max="4892" width="12.85546875" style="11" customWidth="1"/>
    <col min="4893" max="4898" width="11.5703125" style="11" customWidth="1"/>
    <col min="4899" max="5116" width="9.140625" style="11"/>
    <col min="5117" max="5117" width="3.5703125" style="11" customWidth="1"/>
    <col min="5118" max="5118" width="2.7109375" style="11" customWidth="1"/>
    <col min="5119" max="5119" width="15" style="11" customWidth="1"/>
    <col min="5120" max="5120" width="68.5703125" style="11" customWidth="1"/>
    <col min="5121" max="5121" width="0" style="11" hidden="1" customWidth="1"/>
    <col min="5122" max="5122" width="22.140625" style="11" customWidth="1"/>
    <col min="5123" max="5123" width="22.42578125" style="11" customWidth="1"/>
    <col min="5124" max="5125" width="17.5703125" style="11" customWidth="1"/>
    <col min="5126" max="5127" width="20.7109375" style="11" customWidth="1"/>
    <col min="5128" max="5133" width="17.5703125" style="11" customWidth="1"/>
    <col min="5134" max="5135" width="16.140625" style="11" customWidth="1"/>
    <col min="5136" max="5145" width="17.5703125" style="11" customWidth="1"/>
    <col min="5146" max="5147" width="19.7109375" style="11" customWidth="1"/>
    <col min="5148" max="5148" width="12.85546875" style="11" customWidth="1"/>
    <col min="5149" max="5154" width="11.5703125" style="11" customWidth="1"/>
    <col min="5155" max="5372" width="9.140625" style="11"/>
    <col min="5373" max="5373" width="3.5703125" style="11" customWidth="1"/>
    <col min="5374" max="5374" width="2.7109375" style="11" customWidth="1"/>
    <col min="5375" max="5375" width="15" style="11" customWidth="1"/>
    <col min="5376" max="5376" width="68.5703125" style="11" customWidth="1"/>
    <col min="5377" max="5377" width="0" style="11" hidden="1" customWidth="1"/>
    <col min="5378" max="5378" width="22.140625" style="11" customWidth="1"/>
    <col min="5379" max="5379" width="22.42578125" style="11" customWidth="1"/>
    <col min="5380" max="5381" width="17.5703125" style="11" customWidth="1"/>
    <col min="5382" max="5383" width="20.7109375" style="11" customWidth="1"/>
    <col min="5384" max="5389" width="17.5703125" style="11" customWidth="1"/>
    <col min="5390" max="5391" width="16.140625" style="11" customWidth="1"/>
    <col min="5392" max="5401" width="17.5703125" style="11" customWidth="1"/>
    <col min="5402" max="5403" width="19.7109375" style="11" customWidth="1"/>
    <col min="5404" max="5404" width="12.85546875" style="11" customWidth="1"/>
    <col min="5405" max="5410" width="11.5703125" style="11" customWidth="1"/>
    <col min="5411" max="5628" width="9.140625" style="11"/>
    <col min="5629" max="5629" width="3.5703125" style="11" customWidth="1"/>
    <col min="5630" max="5630" width="2.7109375" style="11" customWidth="1"/>
    <col min="5631" max="5631" width="15" style="11" customWidth="1"/>
    <col min="5632" max="5632" width="68.5703125" style="11" customWidth="1"/>
    <col min="5633" max="5633" width="0" style="11" hidden="1" customWidth="1"/>
    <col min="5634" max="5634" width="22.140625" style="11" customWidth="1"/>
    <col min="5635" max="5635" width="22.42578125" style="11" customWidth="1"/>
    <col min="5636" max="5637" width="17.5703125" style="11" customWidth="1"/>
    <col min="5638" max="5639" width="20.7109375" style="11" customWidth="1"/>
    <col min="5640" max="5645" width="17.5703125" style="11" customWidth="1"/>
    <col min="5646" max="5647" width="16.140625" style="11" customWidth="1"/>
    <col min="5648" max="5657" width="17.5703125" style="11" customWidth="1"/>
    <col min="5658" max="5659" width="19.7109375" style="11" customWidth="1"/>
    <col min="5660" max="5660" width="12.85546875" style="11" customWidth="1"/>
    <col min="5661" max="5666" width="11.5703125" style="11" customWidth="1"/>
    <col min="5667" max="5884" width="9.140625" style="11"/>
    <col min="5885" max="5885" width="3.5703125" style="11" customWidth="1"/>
    <col min="5886" max="5886" width="2.7109375" style="11" customWidth="1"/>
    <col min="5887" max="5887" width="15" style="11" customWidth="1"/>
    <col min="5888" max="5888" width="68.5703125" style="11" customWidth="1"/>
    <col min="5889" max="5889" width="0" style="11" hidden="1" customWidth="1"/>
    <col min="5890" max="5890" width="22.140625" style="11" customWidth="1"/>
    <col min="5891" max="5891" width="22.42578125" style="11" customWidth="1"/>
    <col min="5892" max="5893" width="17.5703125" style="11" customWidth="1"/>
    <col min="5894" max="5895" width="20.7109375" style="11" customWidth="1"/>
    <col min="5896" max="5901" width="17.5703125" style="11" customWidth="1"/>
    <col min="5902" max="5903" width="16.140625" style="11" customWidth="1"/>
    <col min="5904" max="5913" width="17.5703125" style="11" customWidth="1"/>
    <col min="5914" max="5915" width="19.7109375" style="11" customWidth="1"/>
    <col min="5916" max="5916" width="12.85546875" style="11" customWidth="1"/>
    <col min="5917" max="5922" width="11.5703125" style="11" customWidth="1"/>
    <col min="5923" max="6140" width="9.140625" style="11"/>
    <col min="6141" max="6141" width="3.5703125" style="11" customWidth="1"/>
    <col min="6142" max="6142" width="2.7109375" style="11" customWidth="1"/>
    <col min="6143" max="6143" width="15" style="11" customWidth="1"/>
    <col min="6144" max="6144" width="68.5703125" style="11" customWidth="1"/>
    <col min="6145" max="6145" width="0" style="11" hidden="1" customWidth="1"/>
    <col min="6146" max="6146" width="22.140625" style="11" customWidth="1"/>
    <col min="6147" max="6147" width="22.42578125" style="11" customWidth="1"/>
    <col min="6148" max="6149" width="17.5703125" style="11" customWidth="1"/>
    <col min="6150" max="6151" width="20.7109375" style="11" customWidth="1"/>
    <col min="6152" max="6157" width="17.5703125" style="11" customWidth="1"/>
    <col min="6158" max="6159" width="16.140625" style="11" customWidth="1"/>
    <col min="6160" max="6169" width="17.5703125" style="11" customWidth="1"/>
    <col min="6170" max="6171" width="19.7109375" style="11" customWidth="1"/>
    <col min="6172" max="6172" width="12.85546875" style="11" customWidth="1"/>
    <col min="6173" max="6178" width="11.5703125" style="11" customWidth="1"/>
    <col min="6179" max="6396" width="9.140625" style="11"/>
    <col min="6397" max="6397" width="3.5703125" style="11" customWidth="1"/>
    <col min="6398" max="6398" width="2.7109375" style="11" customWidth="1"/>
    <col min="6399" max="6399" width="15" style="11" customWidth="1"/>
    <col min="6400" max="6400" width="68.5703125" style="11" customWidth="1"/>
    <col min="6401" max="6401" width="0" style="11" hidden="1" customWidth="1"/>
    <col min="6402" max="6402" width="22.140625" style="11" customWidth="1"/>
    <col min="6403" max="6403" width="22.42578125" style="11" customWidth="1"/>
    <col min="6404" max="6405" width="17.5703125" style="11" customWidth="1"/>
    <col min="6406" max="6407" width="20.7109375" style="11" customWidth="1"/>
    <col min="6408" max="6413" width="17.5703125" style="11" customWidth="1"/>
    <col min="6414" max="6415" width="16.140625" style="11" customWidth="1"/>
    <col min="6416" max="6425" width="17.5703125" style="11" customWidth="1"/>
    <col min="6426" max="6427" width="19.7109375" style="11" customWidth="1"/>
    <col min="6428" max="6428" width="12.85546875" style="11" customWidth="1"/>
    <col min="6429" max="6434" width="11.5703125" style="11" customWidth="1"/>
    <col min="6435" max="6652" width="9.140625" style="11"/>
    <col min="6653" max="6653" width="3.5703125" style="11" customWidth="1"/>
    <col min="6654" max="6654" width="2.7109375" style="11" customWidth="1"/>
    <col min="6655" max="6655" width="15" style="11" customWidth="1"/>
    <col min="6656" max="6656" width="68.5703125" style="11" customWidth="1"/>
    <col min="6657" max="6657" width="0" style="11" hidden="1" customWidth="1"/>
    <col min="6658" max="6658" width="22.140625" style="11" customWidth="1"/>
    <col min="6659" max="6659" width="22.42578125" style="11" customWidth="1"/>
    <col min="6660" max="6661" width="17.5703125" style="11" customWidth="1"/>
    <col min="6662" max="6663" width="20.7109375" style="11" customWidth="1"/>
    <col min="6664" max="6669" width="17.5703125" style="11" customWidth="1"/>
    <col min="6670" max="6671" width="16.140625" style="11" customWidth="1"/>
    <col min="6672" max="6681" width="17.5703125" style="11" customWidth="1"/>
    <col min="6682" max="6683" width="19.7109375" style="11" customWidth="1"/>
    <col min="6684" max="6684" width="12.85546875" style="11" customWidth="1"/>
    <col min="6685" max="6690" width="11.5703125" style="11" customWidth="1"/>
    <col min="6691" max="6908" width="9.140625" style="11"/>
    <col min="6909" max="6909" width="3.5703125" style="11" customWidth="1"/>
    <col min="6910" max="6910" width="2.7109375" style="11" customWidth="1"/>
    <col min="6911" max="6911" width="15" style="11" customWidth="1"/>
    <col min="6912" max="6912" width="68.5703125" style="11" customWidth="1"/>
    <col min="6913" max="6913" width="0" style="11" hidden="1" customWidth="1"/>
    <col min="6914" max="6914" width="22.140625" style="11" customWidth="1"/>
    <col min="6915" max="6915" width="22.42578125" style="11" customWidth="1"/>
    <col min="6916" max="6917" width="17.5703125" style="11" customWidth="1"/>
    <col min="6918" max="6919" width="20.7109375" style="11" customWidth="1"/>
    <col min="6920" max="6925" width="17.5703125" style="11" customWidth="1"/>
    <col min="6926" max="6927" width="16.140625" style="11" customWidth="1"/>
    <col min="6928" max="6937" width="17.5703125" style="11" customWidth="1"/>
    <col min="6938" max="6939" width="19.7109375" style="11" customWidth="1"/>
    <col min="6940" max="6940" width="12.85546875" style="11" customWidth="1"/>
    <col min="6941" max="6946" width="11.5703125" style="11" customWidth="1"/>
    <col min="6947" max="7164" width="9.140625" style="11"/>
    <col min="7165" max="7165" width="3.5703125" style="11" customWidth="1"/>
    <col min="7166" max="7166" width="2.7109375" style="11" customWidth="1"/>
    <col min="7167" max="7167" width="15" style="11" customWidth="1"/>
    <col min="7168" max="7168" width="68.5703125" style="11" customWidth="1"/>
    <col min="7169" max="7169" width="0" style="11" hidden="1" customWidth="1"/>
    <col min="7170" max="7170" width="22.140625" style="11" customWidth="1"/>
    <col min="7171" max="7171" width="22.42578125" style="11" customWidth="1"/>
    <col min="7172" max="7173" width="17.5703125" style="11" customWidth="1"/>
    <col min="7174" max="7175" width="20.7109375" style="11" customWidth="1"/>
    <col min="7176" max="7181" width="17.5703125" style="11" customWidth="1"/>
    <col min="7182" max="7183" width="16.140625" style="11" customWidth="1"/>
    <col min="7184" max="7193" width="17.5703125" style="11" customWidth="1"/>
    <col min="7194" max="7195" width="19.7109375" style="11" customWidth="1"/>
    <col min="7196" max="7196" width="12.85546875" style="11" customWidth="1"/>
    <col min="7197" max="7202" width="11.5703125" style="11" customWidth="1"/>
    <col min="7203" max="7420" width="9.140625" style="11"/>
    <col min="7421" max="7421" width="3.5703125" style="11" customWidth="1"/>
    <col min="7422" max="7422" width="2.7109375" style="11" customWidth="1"/>
    <col min="7423" max="7423" width="15" style="11" customWidth="1"/>
    <col min="7424" max="7424" width="68.5703125" style="11" customWidth="1"/>
    <col min="7425" max="7425" width="0" style="11" hidden="1" customWidth="1"/>
    <col min="7426" max="7426" width="22.140625" style="11" customWidth="1"/>
    <col min="7427" max="7427" width="22.42578125" style="11" customWidth="1"/>
    <col min="7428" max="7429" width="17.5703125" style="11" customWidth="1"/>
    <col min="7430" max="7431" width="20.7109375" style="11" customWidth="1"/>
    <col min="7432" max="7437" width="17.5703125" style="11" customWidth="1"/>
    <col min="7438" max="7439" width="16.140625" style="11" customWidth="1"/>
    <col min="7440" max="7449" width="17.5703125" style="11" customWidth="1"/>
    <col min="7450" max="7451" width="19.7109375" style="11" customWidth="1"/>
    <col min="7452" max="7452" width="12.85546875" style="11" customWidth="1"/>
    <col min="7453" max="7458" width="11.5703125" style="11" customWidth="1"/>
    <col min="7459" max="7676" width="9.140625" style="11"/>
    <col min="7677" max="7677" width="3.5703125" style="11" customWidth="1"/>
    <col min="7678" max="7678" width="2.7109375" style="11" customWidth="1"/>
    <col min="7679" max="7679" width="15" style="11" customWidth="1"/>
    <col min="7680" max="7680" width="68.5703125" style="11" customWidth="1"/>
    <col min="7681" max="7681" width="0" style="11" hidden="1" customWidth="1"/>
    <col min="7682" max="7682" width="22.140625" style="11" customWidth="1"/>
    <col min="7683" max="7683" width="22.42578125" style="11" customWidth="1"/>
    <col min="7684" max="7685" width="17.5703125" style="11" customWidth="1"/>
    <col min="7686" max="7687" width="20.7109375" style="11" customWidth="1"/>
    <col min="7688" max="7693" width="17.5703125" style="11" customWidth="1"/>
    <col min="7694" max="7695" width="16.140625" style="11" customWidth="1"/>
    <col min="7696" max="7705" width="17.5703125" style="11" customWidth="1"/>
    <col min="7706" max="7707" width="19.7109375" style="11" customWidth="1"/>
    <col min="7708" max="7708" width="12.85546875" style="11" customWidth="1"/>
    <col min="7709" max="7714" width="11.5703125" style="11" customWidth="1"/>
    <col min="7715" max="7932" width="9.140625" style="11"/>
    <col min="7933" max="7933" width="3.5703125" style="11" customWidth="1"/>
    <col min="7934" max="7934" width="2.7109375" style="11" customWidth="1"/>
    <col min="7935" max="7935" width="15" style="11" customWidth="1"/>
    <col min="7936" max="7936" width="68.5703125" style="11" customWidth="1"/>
    <col min="7937" max="7937" width="0" style="11" hidden="1" customWidth="1"/>
    <col min="7938" max="7938" width="22.140625" style="11" customWidth="1"/>
    <col min="7939" max="7939" width="22.42578125" style="11" customWidth="1"/>
    <col min="7940" max="7941" width="17.5703125" style="11" customWidth="1"/>
    <col min="7942" max="7943" width="20.7109375" style="11" customWidth="1"/>
    <col min="7944" max="7949" width="17.5703125" style="11" customWidth="1"/>
    <col min="7950" max="7951" width="16.140625" style="11" customWidth="1"/>
    <col min="7952" max="7961" width="17.5703125" style="11" customWidth="1"/>
    <col min="7962" max="7963" width="19.7109375" style="11" customWidth="1"/>
    <col min="7964" max="7964" width="12.85546875" style="11" customWidth="1"/>
    <col min="7965" max="7970" width="11.5703125" style="11" customWidth="1"/>
    <col min="7971" max="8188" width="9.140625" style="11"/>
    <col min="8189" max="8189" width="3.5703125" style="11" customWidth="1"/>
    <col min="8190" max="8190" width="2.7109375" style="11" customWidth="1"/>
    <col min="8191" max="8191" width="15" style="11" customWidth="1"/>
    <col min="8192" max="8192" width="68.5703125" style="11" customWidth="1"/>
    <col min="8193" max="8193" width="0" style="11" hidden="1" customWidth="1"/>
    <col min="8194" max="8194" width="22.140625" style="11" customWidth="1"/>
    <col min="8195" max="8195" width="22.42578125" style="11" customWidth="1"/>
    <col min="8196" max="8197" width="17.5703125" style="11" customWidth="1"/>
    <col min="8198" max="8199" width="20.7109375" style="11" customWidth="1"/>
    <col min="8200" max="8205" width="17.5703125" style="11" customWidth="1"/>
    <col min="8206" max="8207" width="16.140625" style="11" customWidth="1"/>
    <col min="8208" max="8217" width="17.5703125" style="11" customWidth="1"/>
    <col min="8218" max="8219" width="19.7109375" style="11" customWidth="1"/>
    <col min="8220" max="8220" width="12.85546875" style="11" customWidth="1"/>
    <col min="8221" max="8226" width="11.5703125" style="11" customWidth="1"/>
    <col min="8227" max="8444" width="9.140625" style="11"/>
    <col min="8445" max="8445" width="3.5703125" style="11" customWidth="1"/>
    <col min="8446" max="8446" width="2.7109375" style="11" customWidth="1"/>
    <col min="8447" max="8447" width="15" style="11" customWidth="1"/>
    <col min="8448" max="8448" width="68.5703125" style="11" customWidth="1"/>
    <col min="8449" max="8449" width="0" style="11" hidden="1" customWidth="1"/>
    <col min="8450" max="8450" width="22.140625" style="11" customWidth="1"/>
    <col min="8451" max="8451" width="22.42578125" style="11" customWidth="1"/>
    <col min="8452" max="8453" width="17.5703125" style="11" customWidth="1"/>
    <col min="8454" max="8455" width="20.7109375" style="11" customWidth="1"/>
    <col min="8456" max="8461" width="17.5703125" style="11" customWidth="1"/>
    <col min="8462" max="8463" width="16.140625" style="11" customWidth="1"/>
    <col min="8464" max="8473" width="17.5703125" style="11" customWidth="1"/>
    <col min="8474" max="8475" width="19.7109375" style="11" customWidth="1"/>
    <col min="8476" max="8476" width="12.85546875" style="11" customWidth="1"/>
    <col min="8477" max="8482" width="11.5703125" style="11" customWidth="1"/>
    <col min="8483" max="8700" width="9.140625" style="11"/>
    <col min="8701" max="8701" width="3.5703125" style="11" customWidth="1"/>
    <col min="8702" max="8702" width="2.7109375" style="11" customWidth="1"/>
    <col min="8703" max="8703" width="15" style="11" customWidth="1"/>
    <col min="8704" max="8704" width="68.5703125" style="11" customWidth="1"/>
    <col min="8705" max="8705" width="0" style="11" hidden="1" customWidth="1"/>
    <col min="8706" max="8706" width="22.140625" style="11" customWidth="1"/>
    <col min="8707" max="8707" width="22.42578125" style="11" customWidth="1"/>
    <col min="8708" max="8709" width="17.5703125" style="11" customWidth="1"/>
    <col min="8710" max="8711" width="20.7109375" style="11" customWidth="1"/>
    <col min="8712" max="8717" width="17.5703125" style="11" customWidth="1"/>
    <col min="8718" max="8719" width="16.140625" style="11" customWidth="1"/>
    <col min="8720" max="8729" width="17.5703125" style="11" customWidth="1"/>
    <col min="8730" max="8731" width="19.7109375" style="11" customWidth="1"/>
    <col min="8732" max="8732" width="12.85546875" style="11" customWidth="1"/>
    <col min="8733" max="8738" width="11.5703125" style="11" customWidth="1"/>
    <col min="8739" max="8956" width="9.140625" style="11"/>
    <col min="8957" max="8957" width="3.5703125" style="11" customWidth="1"/>
    <col min="8958" max="8958" width="2.7109375" style="11" customWidth="1"/>
    <col min="8959" max="8959" width="15" style="11" customWidth="1"/>
    <col min="8960" max="8960" width="68.5703125" style="11" customWidth="1"/>
    <col min="8961" max="8961" width="0" style="11" hidden="1" customWidth="1"/>
    <col min="8962" max="8962" width="22.140625" style="11" customWidth="1"/>
    <col min="8963" max="8963" width="22.42578125" style="11" customWidth="1"/>
    <col min="8964" max="8965" width="17.5703125" style="11" customWidth="1"/>
    <col min="8966" max="8967" width="20.7109375" style="11" customWidth="1"/>
    <col min="8968" max="8973" width="17.5703125" style="11" customWidth="1"/>
    <col min="8974" max="8975" width="16.140625" style="11" customWidth="1"/>
    <col min="8976" max="8985" width="17.5703125" style="11" customWidth="1"/>
    <col min="8986" max="8987" width="19.7109375" style="11" customWidth="1"/>
    <col min="8988" max="8988" width="12.85546875" style="11" customWidth="1"/>
    <col min="8989" max="8994" width="11.5703125" style="11" customWidth="1"/>
    <col min="8995" max="9212" width="9.140625" style="11"/>
    <col min="9213" max="9213" width="3.5703125" style="11" customWidth="1"/>
    <col min="9214" max="9214" width="2.7109375" style="11" customWidth="1"/>
    <col min="9215" max="9215" width="15" style="11" customWidth="1"/>
    <col min="9216" max="9216" width="68.5703125" style="11" customWidth="1"/>
    <col min="9217" max="9217" width="0" style="11" hidden="1" customWidth="1"/>
    <col min="9218" max="9218" width="22.140625" style="11" customWidth="1"/>
    <col min="9219" max="9219" width="22.42578125" style="11" customWidth="1"/>
    <col min="9220" max="9221" width="17.5703125" style="11" customWidth="1"/>
    <col min="9222" max="9223" width="20.7109375" style="11" customWidth="1"/>
    <col min="9224" max="9229" width="17.5703125" style="11" customWidth="1"/>
    <col min="9230" max="9231" width="16.140625" style="11" customWidth="1"/>
    <col min="9232" max="9241" width="17.5703125" style="11" customWidth="1"/>
    <col min="9242" max="9243" width="19.7109375" style="11" customWidth="1"/>
    <col min="9244" max="9244" width="12.85546875" style="11" customWidth="1"/>
    <col min="9245" max="9250" width="11.5703125" style="11" customWidth="1"/>
    <col min="9251" max="9468" width="9.140625" style="11"/>
    <col min="9469" max="9469" width="3.5703125" style="11" customWidth="1"/>
    <col min="9470" max="9470" width="2.7109375" style="11" customWidth="1"/>
    <col min="9471" max="9471" width="15" style="11" customWidth="1"/>
    <col min="9472" max="9472" width="68.5703125" style="11" customWidth="1"/>
    <col min="9473" max="9473" width="0" style="11" hidden="1" customWidth="1"/>
    <col min="9474" max="9474" width="22.140625" style="11" customWidth="1"/>
    <col min="9475" max="9475" width="22.42578125" style="11" customWidth="1"/>
    <col min="9476" max="9477" width="17.5703125" style="11" customWidth="1"/>
    <col min="9478" max="9479" width="20.7109375" style="11" customWidth="1"/>
    <col min="9480" max="9485" width="17.5703125" style="11" customWidth="1"/>
    <col min="9486" max="9487" width="16.140625" style="11" customWidth="1"/>
    <col min="9488" max="9497" width="17.5703125" style="11" customWidth="1"/>
    <col min="9498" max="9499" width="19.7109375" style="11" customWidth="1"/>
    <col min="9500" max="9500" width="12.85546875" style="11" customWidth="1"/>
    <col min="9501" max="9506" width="11.5703125" style="11" customWidth="1"/>
    <col min="9507" max="9724" width="9.140625" style="11"/>
    <col min="9725" max="9725" width="3.5703125" style="11" customWidth="1"/>
    <col min="9726" max="9726" width="2.7109375" style="11" customWidth="1"/>
    <col min="9727" max="9727" width="15" style="11" customWidth="1"/>
    <col min="9728" max="9728" width="68.5703125" style="11" customWidth="1"/>
    <col min="9729" max="9729" width="0" style="11" hidden="1" customWidth="1"/>
    <col min="9730" max="9730" width="22.140625" style="11" customWidth="1"/>
    <col min="9731" max="9731" width="22.42578125" style="11" customWidth="1"/>
    <col min="9732" max="9733" width="17.5703125" style="11" customWidth="1"/>
    <col min="9734" max="9735" width="20.7109375" style="11" customWidth="1"/>
    <col min="9736" max="9741" width="17.5703125" style="11" customWidth="1"/>
    <col min="9742" max="9743" width="16.140625" style="11" customWidth="1"/>
    <col min="9744" max="9753" width="17.5703125" style="11" customWidth="1"/>
    <col min="9754" max="9755" width="19.7109375" style="11" customWidth="1"/>
    <col min="9756" max="9756" width="12.85546875" style="11" customWidth="1"/>
    <col min="9757" max="9762" width="11.5703125" style="11" customWidth="1"/>
    <col min="9763" max="9980" width="9.140625" style="11"/>
    <col min="9981" max="9981" width="3.5703125" style="11" customWidth="1"/>
    <col min="9982" max="9982" width="2.7109375" style="11" customWidth="1"/>
    <col min="9983" max="9983" width="15" style="11" customWidth="1"/>
    <col min="9984" max="9984" width="68.5703125" style="11" customWidth="1"/>
    <col min="9985" max="9985" width="0" style="11" hidden="1" customWidth="1"/>
    <col min="9986" max="9986" width="22.140625" style="11" customWidth="1"/>
    <col min="9987" max="9987" width="22.42578125" style="11" customWidth="1"/>
    <col min="9988" max="9989" width="17.5703125" style="11" customWidth="1"/>
    <col min="9990" max="9991" width="20.7109375" style="11" customWidth="1"/>
    <col min="9992" max="9997" width="17.5703125" style="11" customWidth="1"/>
    <col min="9998" max="9999" width="16.140625" style="11" customWidth="1"/>
    <col min="10000" max="10009" width="17.5703125" style="11" customWidth="1"/>
    <col min="10010" max="10011" width="19.7109375" style="11" customWidth="1"/>
    <col min="10012" max="10012" width="12.85546875" style="11" customWidth="1"/>
    <col min="10013" max="10018" width="11.5703125" style="11" customWidth="1"/>
    <col min="10019" max="10236" width="9.140625" style="11"/>
    <col min="10237" max="10237" width="3.5703125" style="11" customWidth="1"/>
    <col min="10238" max="10238" width="2.7109375" style="11" customWidth="1"/>
    <col min="10239" max="10239" width="15" style="11" customWidth="1"/>
    <col min="10240" max="10240" width="68.5703125" style="11" customWidth="1"/>
    <col min="10241" max="10241" width="0" style="11" hidden="1" customWidth="1"/>
    <col min="10242" max="10242" width="22.140625" style="11" customWidth="1"/>
    <col min="10243" max="10243" width="22.42578125" style="11" customWidth="1"/>
    <col min="10244" max="10245" width="17.5703125" style="11" customWidth="1"/>
    <col min="10246" max="10247" width="20.7109375" style="11" customWidth="1"/>
    <col min="10248" max="10253" width="17.5703125" style="11" customWidth="1"/>
    <col min="10254" max="10255" width="16.140625" style="11" customWidth="1"/>
    <col min="10256" max="10265" width="17.5703125" style="11" customWidth="1"/>
    <col min="10266" max="10267" width="19.7109375" style="11" customWidth="1"/>
    <col min="10268" max="10268" width="12.85546875" style="11" customWidth="1"/>
    <col min="10269" max="10274" width="11.5703125" style="11" customWidth="1"/>
    <col min="10275" max="10492" width="9.140625" style="11"/>
    <col min="10493" max="10493" width="3.5703125" style="11" customWidth="1"/>
    <col min="10494" max="10494" width="2.7109375" style="11" customWidth="1"/>
    <col min="10495" max="10495" width="15" style="11" customWidth="1"/>
    <col min="10496" max="10496" width="68.5703125" style="11" customWidth="1"/>
    <col min="10497" max="10497" width="0" style="11" hidden="1" customWidth="1"/>
    <col min="10498" max="10498" width="22.140625" style="11" customWidth="1"/>
    <col min="10499" max="10499" width="22.42578125" style="11" customWidth="1"/>
    <col min="10500" max="10501" width="17.5703125" style="11" customWidth="1"/>
    <col min="10502" max="10503" width="20.7109375" style="11" customWidth="1"/>
    <col min="10504" max="10509" width="17.5703125" style="11" customWidth="1"/>
    <col min="10510" max="10511" width="16.140625" style="11" customWidth="1"/>
    <col min="10512" max="10521" width="17.5703125" style="11" customWidth="1"/>
    <col min="10522" max="10523" width="19.7109375" style="11" customWidth="1"/>
    <col min="10524" max="10524" width="12.85546875" style="11" customWidth="1"/>
    <col min="10525" max="10530" width="11.5703125" style="11" customWidth="1"/>
    <col min="10531" max="10748" width="9.140625" style="11"/>
    <col min="10749" max="10749" width="3.5703125" style="11" customWidth="1"/>
    <col min="10750" max="10750" width="2.7109375" style="11" customWidth="1"/>
    <col min="10751" max="10751" width="15" style="11" customWidth="1"/>
    <col min="10752" max="10752" width="68.5703125" style="11" customWidth="1"/>
    <col min="10753" max="10753" width="0" style="11" hidden="1" customWidth="1"/>
    <col min="10754" max="10754" width="22.140625" style="11" customWidth="1"/>
    <col min="10755" max="10755" width="22.42578125" style="11" customWidth="1"/>
    <col min="10756" max="10757" width="17.5703125" style="11" customWidth="1"/>
    <col min="10758" max="10759" width="20.7109375" style="11" customWidth="1"/>
    <col min="10760" max="10765" width="17.5703125" style="11" customWidth="1"/>
    <col min="10766" max="10767" width="16.140625" style="11" customWidth="1"/>
    <col min="10768" max="10777" width="17.5703125" style="11" customWidth="1"/>
    <col min="10778" max="10779" width="19.7109375" style="11" customWidth="1"/>
    <col min="10780" max="10780" width="12.85546875" style="11" customWidth="1"/>
    <col min="10781" max="10786" width="11.5703125" style="11" customWidth="1"/>
    <col min="10787" max="11004" width="9.140625" style="11"/>
    <col min="11005" max="11005" width="3.5703125" style="11" customWidth="1"/>
    <col min="11006" max="11006" width="2.7109375" style="11" customWidth="1"/>
    <col min="11007" max="11007" width="15" style="11" customWidth="1"/>
    <col min="11008" max="11008" width="68.5703125" style="11" customWidth="1"/>
    <col min="11009" max="11009" width="0" style="11" hidden="1" customWidth="1"/>
    <col min="11010" max="11010" width="22.140625" style="11" customWidth="1"/>
    <col min="11011" max="11011" width="22.42578125" style="11" customWidth="1"/>
    <col min="11012" max="11013" width="17.5703125" style="11" customWidth="1"/>
    <col min="11014" max="11015" width="20.7109375" style="11" customWidth="1"/>
    <col min="11016" max="11021" width="17.5703125" style="11" customWidth="1"/>
    <col min="11022" max="11023" width="16.140625" style="11" customWidth="1"/>
    <col min="11024" max="11033" width="17.5703125" style="11" customWidth="1"/>
    <col min="11034" max="11035" width="19.7109375" style="11" customWidth="1"/>
    <col min="11036" max="11036" width="12.85546875" style="11" customWidth="1"/>
    <col min="11037" max="11042" width="11.5703125" style="11" customWidth="1"/>
    <col min="11043" max="11260" width="9.140625" style="11"/>
    <col min="11261" max="11261" width="3.5703125" style="11" customWidth="1"/>
    <col min="11262" max="11262" width="2.7109375" style="11" customWidth="1"/>
    <col min="11263" max="11263" width="15" style="11" customWidth="1"/>
    <col min="11264" max="11264" width="68.5703125" style="11" customWidth="1"/>
    <col min="11265" max="11265" width="0" style="11" hidden="1" customWidth="1"/>
    <col min="11266" max="11266" width="22.140625" style="11" customWidth="1"/>
    <col min="11267" max="11267" width="22.42578125" style="11" customWidth="1"/>
    <col min="11268" max="11269" width="17.5703125" style="11" customWidth="1"/>
    <col min="11270" max="11271" width="20.7109375" style="11" customWidth="1"/>
    <col min="11272" max="11277" width="17.5703125" style="11" customWidth="1"/>
    <col min="11278" max="11279" width="16.140625" style="11" customWidth="1"/>
    <col min="11280" max="11289" width="17.5703125" style="11" customWidth="1"/>
    <col min="11290" max="11291" width="19.7109375" style="11" customWidth="1"/>
    <col min="11292" max="11292" width="12.85546875" style="11" customWidth="1"/>
    <col min="11293" max="11298" width="11.5703125" style="11" customWidth="1"/>
    <col min="11299" max="11516" width="9.140625" style="11"/>
    <col min="11517" max="11517" width="3.5703125" style="11" customWidth="1"/>
    <col min="11518" max="11518" width="2.7109375" style="11" customWidth="1"/>
    <col min="11519" max="11519" width="15" style="11" customWidth="1"/>
    <col min="11520" max="11520" width="68.5703125" style="11" customWidth="1"/>
    <col min="11521" max="11521" width="0" style="11" hidden="1" customWidth="1"/>
    <col min="11522" max="11522" width="22.140625" style="11" customWidth="1"/>
    <col min="11523" max="11523" width="22.42578125" style="11" customWidth="1"/>
    <col min="11524" max="11525" width="17.5703125" style="11" customWidth="1"/>
    <col min="11526" max="11527" width="20.7109375" style="11" customWidth="1"/>
    <col min="11528" max="11533" width="17.5703125" style="11" customWidth="1"/>
    <col min="11534" max="11535" width="16.140625" style="11" customWidth="1"/>
    <col min="11536" max="11545" width="17.5703125" style="11" customWidth="1"/>
    <col min="11546" max="11547" width="19.7109375" style="11" customWidth="1"/>
    <col min="11548" max="11548" width="12.85546875" style="11" customWidth="1"/>
    <col min="11549" max="11554" width="11.5703125" style="11" customWidth="1"/>
    <col min="11555" max="11772" width="9.140625" style="11"/>
    <col min="11773" max="11773" width="3.5703125" style="11" customWidth="1"/>
    <col min="11774" max="11774" width="2.7109375" style="11" customWidth="1"/>
    <col min="11775" max="11775" width="15" style="11" customWidth="1"/>
    <col min="11776" max="11776" width="68.5703125" style="11" customWidth="1"/>
    <col min="11777" max="11777" width="0" style="11" hidden="1" customWidth="1"/>
    <col min="11778" max="11778" width="22.140625" style="11" customWidth="1"/>
    <col min="11779" max="11779" width="22.42578125" style="11" customWidth="1"/>
    <col min="11780" max="11781" width="17.5703125" style="11" customWidth="1"/>
    <col min="11782" max="11783" width="20.7109375" style="11" customWidth="1"/>
    <col min="11784" max="11789" width="17.5703125" style="11" customWidth="1"/>
    <col min="11790" max="11791" width="16.140625" style="11" customWidth="1"/>
    <col min="11792" max="11801" width="17.5703125" style="11" customWidth="1"/>
    <col min="11802" max="11803" width="19.7109375" style="11" customWidth="1"/>
    <col min="11804" max="11804" width="12.85546875" style="11" customWidth="1"/>
    <col min="11805" max="11810" width="11.5703125" style="11" customWidth="1"/>
    <col min="11811" max="12028" width="9.140625" style="11"/>
    <col min="12029" max="12029" width="3.5703125" style="11" customWidth="1"/>
    <col min="12030" max="12030" width="2.7109375" style="11" customWidth="1"/>
    <col min="12031" max="12031" width="15" style="11" customWidth="1"/>
    <col min="12032" max="12032" width="68.5703125" style="11" customWidth="1"/>
    <col min="12033" max="12033" width="0" style="11" hidden="1" customWidth="1"/>
    <col min="12034" max="12034" width="22.140625" style="11" customWidth="1"/>
    <col min="12035" max="12035" width="22.42578125" style="11" customWidth="1"/>
    <col min="12036" max="12037" width="17.5703125" style="11" customWidth="1"/>
    <col min="12038" max="12039" width="20.7109375" style="11" customWidth="1"/>
    <col min="12040" max="12045" width="17.5703125" style="11" customWidth="1"/>
    <col min="12046" max="12047" width="16.140625" style="11" customWidth="1"/>
    <col min="12048" max="12057" width="17.5703125" style="11" customWidth="1"/>
    <col min="12058" max="12059" width="19.7109375" style="11" customWidth="1"/>
    <col min="12060" max="12060" width="12.85546875" style="11" customWidth="1"/>
    <col min="12061" max="12066" width="11.5703125" style="11" customWidth="1"/>
    <col min="12067" max="12284" width="9.140625" style="11"/>
    <col min="12285" max="12285" width="3.5703125" style="11" customWidth="1"/>
    <col min="12286" max="12286" width="2.7109375" style="11" customWidth="1"/>
    <col min="12287" max="12287" width="15" style="11" customWidth="1"/>
    <col min="12288" max="12288" width="68.5703125" style="11" customWidth="1"/>
    <col min="12289" max="12289" width="0" style="11" hidden="1" customWidth="1"/>
    <col min="12290" max="12290" width="22.140625" style="11" customWidth="1"/>
    <col min="12291" max="12291" width="22.42578125" style="11" customWidth="1"/>
    <col min="12292" max="12293" width="17.5703125" style="11" customWidth="1"/>
    <col min="12294" max="12295" width="20.7109375" style="11" customWidth="1"/>
    <col min="12296" max="12301" width="17.5703125" style="11" customWidth="1"/>
    <col min="12302" max="12303" width="16.140625" style="11" customWidth="1"/>
    <col min="12304" max="12313" width="17.5703125" style="11" customWidth="1"/>
    <col min="12314" max="12315" width="19.7109375" style="11" customWidth="1"/>
    <col min="12316" max="12316" width="12.85546875" style="11" customWidth="1"/>
    <col min="12317" max="12322" width="11.5703125" style="11" customWidth="1"/>
    <col min="12323" max="12540" width="9.140625" style="11"/>
    <col min="12541" max="12541" width="3.5703125" style="11" customWidth="1"/>
    <col min="12542" max="12542" width="2.7109375" style="11" customWidth="1"/>
    <col min="12543" max="12543" width="15" style="11" customWidth="1"/>
    <col min="12544" max="12544" width="68.5703125" style="11" customWidth="1"/>
    <col min="12545" max="12545" width="0" style="11" hidden="1" customWidth="1"/>
    <col min="12546" max="12546" width="22.140625" style="11" customWidth="1"/>
    <col min="12547" max="12547" width="22.42578125" style="11" customWidth="1"/>
    <col min="12548" max="12549" width="17.5703125" style="11" customWidth="1"/>
    <col min="12550" max="12551" width="20.7109375" style="11" customWidth="1"/>
    <col min="12552" max="12557" width="17.5703125" style="11" customWidth="1"/>
    <col min="12558" max="12559" width="16.140625" style="11" customWidth="1"/>
    <col min="12560" max="12569" width="17.5703125" style="11" customWidth="1"/>
    <col min="12570" max="12571" width="19.7109375" style="11" customWidth="1"/>
    <col min="12572" max="12572" width="12.85546875" style="11" customWidth="1"/>
    <col min="12573" max="12578" width="11.5703125" style="11" customWidth="1"/>
    <col min="12579" max="12796" width="9.140625" style="11"/>
    <col min="12797" max="12797" width="3.5703125" style="11" customWidth="1"/>
    <col min="12798" max="12798" width="2.7109375" style="11" customWidth="1"/>
    <col min="12799" max="12799" width="15" style="11" customWidth="1"/>
    <col min="12800" max="12800" width="68.5703125" style="11" customWidth="1"/>
    <col min="12801" max="12801" width="0" style="11" hidden="1" customWidth="1"/>
    <col min="12802" max="12802" width="22.140625" style="11" customWidth="1"/>
    <col min="12803" max="12803" width="22.42578125" style="11" customWidth="1"/>
    <col min="12804" max="12805" width="17.5703125" style="11" customWidth="1"/>
    <col min="12806" max="12807" width="20.7109375" style="11" customWidth="1"/>
    <col min="12808" max="12813" width="17.5703125" style="11" customWidth="1"/>
    <col min="12814" max="12815" width="16.140625" style="11" customWidth="1"/>
    <col min="12816" max="12825" width="17.5703125" style="11" customWidth="1"/>
    <col min="12826" max="12827" width="19.7109375" style="11" customWidth="1"/>
    <col min="12828" max="12828" width="12.85546875" style="11" customWidth="1"/>
    <col min="12829" max="12834" width="11.5703125" style="11" customWidth="1"/>
    <col min="12835" max="13052" width="9.140625" style="11"/>
    <col min="13053" max="13053" width="3.5703125" style="11" customWidth="1"/>
    <col min="13054" max="13054" width="2.7109375" style="11" customWidth="1"/>
    <col min="13055" max="13055" width="15" style="11" customWidth="1"/>
    <col min="13056" max="13056" width="68.5703125" style="11" customWidth="1"/>
    <col min="13057" max="13057" width="0" style="11" hidden="1" customWidth="1"/>
    <col min="13058" max="13058" width="22.140625" style="11" customWidth="1"/>
    <col min="13059" max="13059" width="22.42578125" style="11" customWidth="1"/>
    <col min="13060" max="13061" width="17.5703125" style="11" customWidth="1"/>
    <col min="13062" max="13063" width="20.7109375" style="11" customWidth="1"/>
    <col min="13064" max="13069" width="17.5703125" style="11" customWidth="1"/>
    <col min="13070" max="13071" width="16.140625" style="11" customWidth="1"/>
    <col min="13072" max="13081" width="17.5703125" style="11" customWidth="1"/>
    <col min="13082" max="13083" width="19.7109375" style="11" customWidth="1"/>
    <col min="13084" max="13084" width="12.85546875" style="11" customWidth="1"/>
    <col min="13085" max="13090" width="11.5703125" style="11" customWidth="1"/>
    <col min="13091" max="13308" width="9.140625" style="11"/>
    <col min="13309" max="13309" width="3.5703125" style="11" customWidth="1"/>
    <col min="13310" max="13310" width="2.7109375" style="11" customWidth="1"/>
    <col min="13311" max="13311" width="15" style="11" customWidth="1"/>
    <col min="13312" max="13312" width="68.5703125" style="11" customWidth="1"/>
    <col min="13313" max="13313" width="0" style="11" hidden="1" customWidth="1"/>
    <col min="13314" max="13314" width="22.140625" style="11" customWidth="1"/>
    <col min="13315" max="13315" width="22.42578125" style="11" customWidth="1"/>
    <col min="13316" max="13317" width="17.5703125" style="11" customWidth="1"/>
    <col min="13318" max="13319" width="20.7109375" style="11" customWidth="1"/>
    <col min="13320" max="13325" width="17.5703125" style="11" customWidth="1"/>
    <col min="13326" max="13327" width="16.140625" style="11" customWidth="1"/>
    <col min="13328" max="13337" width="17.5703125" style="11" customWidth="1"/>
    <col min="13338" max="13339" width="19.7109375" style="11" customWidth="1"/>
    <col min="13340" max="13340" width="12.85546875" style="11" customWidth="1"/>
    <col min="13341" max="13346" width="11.5703125" style="11" customWidth="1"/>
    <col min="13347" max="13564" width="9.140625" style="11"/>
    <col min="13565" max="13565" width="3.5703125" style="11" customWidth="1"/>
    <col min="13566" max="13566" width="2.7109375" style="11" customWidth="1"/>
    <col min="13567" max="13567" width="15" style="11" customWidth="1"/>
    <col min="13568" max="13568" width="68.5703125" style="11" customWidth="1"/>
    <col min="13569" max="13569" width="0" style="11" hidden="1" customWidth="1"/>
    <col min="13570" max="13570" width="22.140625" style="11" customWidth="1"/>
    <col min="13571" max="13571" width="22.42578125" style="11" customWidth="1"/>
    <col min="13572" max="13573" width="17.5703125" style="11" customWidth="1"/>
    <col min="13574" max="13575" width="20.7109375" style="11" customWidth="1"/>
    <col min="13576" max="13581" width="17.5703125" style="11" customWidth="1"/>
    <col min="13582" max="13583" width="16.140625" style="11" customWidth="1"/>
    <col min="13584" max="13593" width="17.5703125" style="11" customWidth="1"/>
    <col min="13594" max="13595" width="19.7109375" style="11" customWidth="1"/>
    <col min="13596" max="13596" width="12.85546875" style="11" customWidth="1"/>
    <col min="13597" max="13602" width="11.5703125" style="11" customWidth="1"/>
    <col min="13603" max="13820" width="9.140625" style="11"/>
    <col min="13821" max="13821" width="3.5703125" style="11" customWidth="1"/>
    <col min="13822" max="13822" width="2.7109375" style="11" customWidth="1"/>
    <col min="13823" max="13823" width="15" style="11" customWidth="1"/>
    <col min="13824" max="13824" width="68.5703125" style="11" customWidth="1"/>
    <col min="13825" max="13825" width="0" style="11" hidden="1" customWidth="1"/>
    <col min="13826" max="13826" width="22.140625" style="11" customWidth="1"/>
    <col min="13827" max="13827" width="22.42578125" style="11" customWidth="1"/>
    <col min="13828" max="13829" width="17.5703125" style="11" customWidth="1"/>
    <col min="13830" max="13831" width="20.7109375" style="11" customWidth="1"/>
    <col min="13832" max="13837" width="17.5703125" style="11" customWidth="1"/>
    <col min="13838" max="13839" width="16.140625" style="11" customWidth="1"/>
    <col min="13840" max="13849" width="17.5703125" style="11" customWidth="1"/>
    <col min="13850" max="13851" width="19.7109375" style="11" customWidth="1"/>
    <col min="13852" max="13852" width="12.85546875" style="11" customWidth="1"/>
    <col min="13853" max="13858" width="11.5703125" style="11" customWidth="1"/>
    <col min="13859" max="14076" width="9.140625" style="11"/>
    <col min="14077" max="14077" width="3.5703125" style="11" customWidth="1"/>
    <col min="14078" max="14078" width="2.7109375" style="11" customWidth="1"/>
    <col min="14079" max="14079" width="15" style="11" customWidth="1"/>
    <col min="14080" max="14080" width="68.5703125" style="11" customWidth="1"/>
    <col min="14081" max="14081" width="0" style="11" hidden="1" customWidth="1"/>
    <col min="14082" max="14082" width="22.140625" style="11" customWidth="1"/>
    <col min="14083" max="14083" width="22.42578125" style="11" customWidth="1"/>
    <col min="14084" max="14085" width="17.5703125" style="11" customWidth="1"/>
    <col min="14086" max="14087" width="20.7109375" style="11" customWidth="1"/>
    <col min="14088" max="14093" width="17.5703125" style="11" customWidth="1"/>
    <col min="14094" max="14095" width="16.140625" style="11" customWidth="1"/>
    <col min="14096" max="14105" width="17.5703125" style="11" customWidth="1"/>
    <col min="14106" max="14107" width="19.7109375" style="11" customWidth="1"/>
    <col min="14108" max="14108" width="12.85546875" style="11" customWidth="1"/>
    <col min="14109" max="14114" width="11.5703125" style="11" customWidth="1"/>
    <col min="14115" max="14332" width="9.140625" style="11"/>
    <col min="14333" max="14333" width="3.5703125" style="11" customWidth="1"/>
    <col min="14334" max="14334" width="2.7109375" style="11" customWidth="1"/>
    <col min="14335" max="14335" width="15" style="11" customWidth="1"/>
    <col min="14336" max="14336" width="68.5703125" style="11" customWidth="1"/>
    <col min="14337" max="14337" width="0" style="11" hidden="1" customWidth="1"/>
    <col min="14338" max="14338" width="22.140625" style="11" customWidth="1"/>
    <col min="14339" max="14339" width="22.42578125" style="11" customWidth="1"/>
    <col min="14340" max="14341" width="17.5703125" style="11" customWidth="1"/>
    <col min="14342" max="14343" width="20.7109375" style="11" customWidth="1"/>
    <col min="14344" max="14349" width="17.5703125" style="11" customWidth="1"/>
    <col min="14350" max="14351" width="16.140625" style="11" customWidth="1"/>
    <col min="14352" max="14361" width="17.5703125" style="11" customWidth="1"/>
    <col min="14362" max="14363" width="19.7109375" style="11" customWidth="1"/>
    <col min="14364" max="14364" width="12.85546875" style="11" customWidth="1"/>
    <col min="14365" max="14370" width="11.5703125" style="11" customWidth="1"/>
    <col min="14371" max="14588" width="9.140625" style="11"/>
    <col min="14589" max="14589" width="3.5703125" style="11" customWidth="1"/>
    <col min="14590" max="14590" width="2.7109375" style="11" customWidth="1"/>
    <col min="14591" max="14591" width="15" style="11" customWidth="1"/>
    <col min="14592" max="14592" width="68.5703125" style="11" customWidth="1"/>
    <col min="14593" max="14593" width="0" style="11" hidden="1" customWidth="1"/>
    <col min="14594" max="14594" width="22.140625" style="11" customWidth="1"/>
    <col min="14595" max="14595" width="22.42578125" style="11" customWidth="1"/>
    <col min="14596" max="14597" width="17.5703125" style="11" customWidth="1"/>
    <col min="14598" max="14599" width="20.7109375" style="11" customWidth="1"/>
    <col min="14600" max="14605" width="17.5703125" style="11" customWidth="1"/>
    <col min="14606" max="14607" width="16.140625" style="11" customWidth="1"/>
    <col min="14608" max="14617" width="17.5703125" style="11" customWidth="1"/>
    <col min="14618" max="14619" width="19.7109375" style="11" customWidth="1"/>
    <col min="14620" max="14620" width="12.85546875" style="11" customWidth="1"/>
    <col min="14621" max="14626" width="11.5703125" style="11" customWidth="1"/>
    <col min="14627" max="14844" width="9.140625" style="11"/>
    <col min="14845" max="14845" width="3.5703125" style="11" customWidth="1"/>
    <col min="14846" max="14846" width="2.7109375" style="11" customWidth="1"/>
    <col min="14847" max="14847" width="15" style="11" customWidth="1"/>
    <col min="14848" max="14848" width="68.5703125" style="11" customWidth="1"/>
    <col min="14849" max="14849" width="0" style="11" hidden="1" customWidth="1"/>
    <col min="14850" max="14850" width="22.140625" style="11" customWidth="1"/>
    <col min="14851" max="14851" width="22.42578125" style="11" customWidth="1"/>
    <col min="14852" max="14853" width="17.5703125" style="11" customWidth="1"/>
    <col min="14854" max="14855" width="20.7109375" style="11" customWidth="1"/>
    <col min="14856" max="14861" width="17.5703125" style="11" customWidth="1"/>
    <col min="14862" max="14863" width="16.140625" style="11" customWidth="1"/>
    <col min="14864" max="14873" width="17.5703125" style="11" customWidth="1"/>
    <col min="14874" max="14875" width="19.7109375" style="11" customWidth="1"/>
    <col min="14876" max="14876" width="12.85546875" style="11" customWidth="1"/>
    <col min="14877" max="14882" width="11.5703125" style="11" customWidth="1"/>
    <col min="14883" max="15100" width="9.140625" style="11"/>
    <col min="15101" max="15101" width="3.5703125" style="11" customWidth="1"/>
    <col min="15102" max="15102" width="2.7109375" style="11" customWidth="1"/>
    <col min="15103" max="15103" width="15" style="11" customWidth="1"/>
    <col min="15104" max="15104" width="68.5703125" style="11" customWidth="1"/>
    <col min="15105" max="15105" width="0" style="11" hidden="1" customWidth="1"/>
    <col min="15106" max="15106" width="22.140625" style="11" customWidth="1"/>
    <col min="15107" max="15107" width="22.42578125" style="11" customWidth="1"/>
    <col min="15108" max="15109" width="17.5703125" style="11" customWidth="1"/>
    <col min="15110" max="15111" width="20.7109375" style="11" customWidth="1"/>
    <col min="15112" max="15117" width="17.5703125" style="11" customWidth="1"/>
    <col min="15118" max="15119" width="16.140625" style="11" customWidth="1"/>
    <col min="15120" max="15129" width="17.5703125" style="11" customWidth="1"/>
    <col min="15130" max="15131" width="19.7109375" style="11" customWidth="1"/>
    <col min="15132" max="15132" width="12.85546875" style="11" customWidth="1"/>
    <col min="15133" max="15138" width="11.5703125" style="11" customWidth="1"/>
    <col min="15139" max="15356" width="9.140625" style="11"/>
    <col min="15357" max="15357" width="3.5703125" style="11" customWidth="1"/>
    <col min="15358" max="15358" width="2.7109375" style="11" customWidth="1"/>
    <col min="15359" max="15359" width="15" style="11" customWidth="1"/>
    <col min="15360" max="15360" width="68.5703125" style="11" customWidth="1"/>
    <col min="15361" max="15361" width="0" style="11" hidden="1" customWidth="1"/>
    <col min="15362" max="15362" width="22.140625" style="11" customWidth="1"/>
    <col min="15363" max="15363" width="22.42578125" style="11" customWidth="1"/>
    <col min="15364" max="15365" width="17.5703125" style="11" customWidth="1"/>
    <col min="15366" max="15367" width="20.7109375" style="11" customWidth="1"/>
    <col min="15368" max="15373" width="17.5703125" style="11" customWidth="1"/>
    <col min="15374" max="15375" width="16.140625" style="11" customWidth="1"/>
    <col min="15376" max="15385" width="17.5703125" style="11" customWidth="1"/>
    <col min="15386" max="15387" width="19.7109375" style="11" customWidth="1"/>
    <col min="15388" max="15388" width="12.85546875" style="11" customWidth="1"/>
    <col min="15389" max="15394" width="11.5703125" style="11" customWidth="1"/>
    <col min="15395" max="15612" width="9.140625" style="11"/>
    <col min="15613" max="15613" width="3.5703125" style="11" customWidth="1"/>
    <col min="15614" max="15614" width="2.7109375" style="11" customWidth="1"/>
    <col min="15615" max="15615" width="15" style="11" customWidth="1"/>
    <col min="15616" max="15616" width="68.5703125" style="11" customWidth="1"/>
    <col min="15617" max="15617" width="0" style="11" hidden="1" customWidth="1"/>
    <col min="15618" max="15618" width="22.140625" style="11" customWidth="1"/>
    <col min="15619" max="15619" width="22.42578125" style="11" customWidth="1"/>
    <col min="15620" max="15621" width="17.5703125" style="11" customWidth="1"/>
    <col min="15622" max="15623" width="20.7109375" style="11" customWidth="1"/>
    <col min="15624" max="15629" width="17.5703125" style="11" customWidth="1"/>
    <col min="15630" max="15631" width="16.140625" style="11" customWidth="1"/>
    <col min="15632" max="15641" width="17.5703125" style="11" customWidth="1"/>
    <col min="15642" max="15643" width="19.7109375" style="11" customWidth="1"/>
    <col min="15644" max="15644" width="12.85546875" style="11" customWidth="1"/>
    <col min="15645" max="15650" width="11.5703125" style="11" customWidth="1"/>
    <col min="15651" max="15868" width="9.140625" style="11"/>
    <col min="15869" max="15869" width="3.5703125" style="11" customWidth="1"/>
    <col min="15870" max="15870" width="2.7109375" style="11" customWidth="1"/>
    <col min="15871" max="15871" width="15" style="11" customWidth="1"/>
    <col min="15872" max="15872" width="68.5703125" style="11" customWidth="1"/>
    <col min="15873" max="15873" width="0" style="11" hidden="1" customWidth="1"/>
    <col min="15874" max="15874" width="22.140625" style="11" customWidth="1"/>
    <col min="15875" max="15875" width="22.42578125" style="11" customWidth="1"/>
    <col min="15876" max="15877" width="17.5703125" style="11" customWidth="1"/>
    <col min="15878" max="15879" width="20.7109375" style="11" customWidth="1"/>
    <col min="15880" max="15885" width="17.5703125" style="11" customWidth="1"/>
    <col min="15886" max="15887" width="16.140625" style="11" customWidth="1"/>
    <col min="15888" max="15897" width="17.5703125" style="11" customWidth="1"/>
    <col min="15898" max="15899" width="19.7109375" style="11" customWidth="1"/>
    <col min="15900" max="15900" width="12.85546875" style="11" customWidth="1"/>
    <col min="15901" max="15906" width="11.5703125" style="11" customWidth="1"/>
    <col min="15907" max="16124" width="9.140625" style="11"/>
    <col min="16125" max="16125" width="3.5703125" style="11" customWidth="1"/>
    <col min="16126" max="16126" width="2.7109375" style="11" customWidth="1"/>
    <col min="16127" max="16127" width="15" style="11" customWidth="1"/>
    <col min="16128" max="16128" width="68.5703125" style="11" customWidth="1"/>
    <col min="16129" max="16129" width="0" style="11" hidden="1" customWidth="1"/>
    <col min="16130" max="16130" width="22.140625" style="11" customWidth="1"/>
    <col min="16131" max="16131" width="22.42578125" style="11" customWidth="1"/>
    <col min="16132" max="16133" width="17.5703125" style="11" customWidth="1"/>
    <col min="16134" max="16135" width="20.7109375" style="11" customWidth="1"/>
    <col min="16136" max="16141" width="17.5703125" style="11" customWidth="1"/>
    <col min="16142" max="16143" width="16.140625" style="11" customWidth="1"/>
    <col min="16144" max="16153" width="17.5703125" style="11" customWidth="1"/>
    <col min="16154" max="16155" width="19.7109375" style="11" customWidth="1"/>
    <col min="16156" max="16156" width="12.85546875" style="11" customWidth="1"/>
    <col min="16157" max="16162" width="11.5703125" style="11" customWidth="1"/>
    <col min="16163" max="16384" width="9.140625" style="11"/>
  </cols>
  <sheetData>
    <row r="1" spans="1:36" ht="31.5" customHeight="1" x14ac:dyDescent="0.2">
      <c r="C1" s="520" t="s">
        <v>295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19" t="s">
        <v>18</v>
      </c>
      <c r="Z1" s="519"/>
      <c r="AA1" s="11"/>
      <c r="AB1" s="11"/>
      <c r="AC1" s="11"/>
    </row>
    <row r="2" spans="1:36" ht="31.5" customHeight="1" x14ac:dyDescent="0.25">
      <c r="C2" s="106" t="s">
        <v>20</v>
      </c>
      <c r="D2" s="107"/>
      <c r="E2" s="108"/>
      <c r="F2" s="108"/>
      <c r="Y2" s="521" t="s">
        <v>53</v>
      </c>
      <c r="Z2" s="521"/>
      <c r="AA2" s="11"/>
      <c r="AB2" s="11"/>
      <c r="AC2" s="11"/>
    </row>
    <row r="3" spans="1:36" ht="31.5" customHeight="1" thickBot="1" x14ac:dyDescent="0.25">
      <c r="B3" s="522"/>
      <c r="C3" s="522"/>
      <c r="D3" s="128"/>
      <c r="E3" s="128"/>
      <c r="F3" s="128"/>
      <c r="G3" s="128"/>
      <c r="H3" s="130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09"/>
      <c r="Z3" s="110" t="s">
        <v>1</v>
      </c>
      <c r="AA3" s="11"/>
      <c r="AB3" s="11"/>
      <c r="AC3" s="11"/>
    </row>
    <row r="4" spans="1:36" ht="18.75" customHeight="1" x14ac:dyDescent="0.2">
      <c r="B4" s="523" t="s">
        <v>0</v>
      </c>
      <c r="C4" s="526" t="s">
        <v>22</v>
      </c>
      <c r="D4" s="511" t="s">
        <v>17</v>
      </c>
      <c r="E4" s="511"/>
      <c r="F4" s="511"/>
      <c r="G4" s="517" t="s">
        <v>256</v>
      </c>
      <c r="H4" s="517"/>
      <c r="I4" s="515" t="s">
        <v>24</v>
      </c>
      <c r="J4" s="515"/>
      <c r="K4" s="515"/>
      <c r="L4" s="515" t="s">
        <v>256</v>
      </c>
      <c r="M4" s="515"/>
      <c r="N4" s="515" t="s">
        <v>24</v>
      </c>
      <c r="O4" s="515"/>
      <c r="P4" s="515"/>
      <c r="Q4" s="515" t="s">
        <v>256</v>
      </c>
      <c r="R4" s="515"/>
      <c r="S4" s="515" t="s">
        <v>24</v>
      </c>
      <c r="T4" s="515"/>
      <c r="U4" s="515"/>
      <c r="V4" s="515" t="s">
        <v>256</v>
      </c>
      <c r="W4" s="515"/>
      <c r="X4" s="515" t="s">
        <v>24</v>
      </c>
      <c r="Y4" s="515"/>
      <c r="Z4" s="515"/>
      <c r="AC4" s="11"/>
    </row>
    <row r="5" spans="1:36" ht="48.75" customHeight="1" x14ac:dyDescent="0.2">
      <c r="B5" s="524"/>
      <c r="C5" s="527"/>
      <c r="D5" s="511"/>
      <c r="E5" s="511"/>
      <c r="F5" s="511"/>
      <c r="G5" s="518"/>
      <c r="H5" s="518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11"/>
      <c r="AB5" s="11"/>
      <c r="AC5" s="11"/>
    </row>
    <row r="6" spans="1:36" ht="24.75" customHeight="1" thickBot="1" x14ac:dyDescent="0.25">
      <c r="B6" s="525"/>
      <c r="C6" s="528"/>
      <c r="D6" s="132" t="s">
        <v>254</v>
      </c>
      <c r="E6" s="132" t="s">
        <v>253</v>
      </c>
      <c r="F6" s="132" t="s">
        <v>24</v>
      </c>
      <c r="G6" s="133" t="s">
        <v>23</v>
      </c>
      <c r="H6" s="133" t="s">
        <v>24</v>
      </c>
      <c r="I6" s="133" t="s">
        <v>5</v>
      </c>
      <c r="J6" s="133" t="s">
        <v>6</v>
      </c>
      <c r="K6" s="133" t="s">
        <v>7</v>
      </c>
      <c r="L6" s="133" t="s">
        <v>23</v>
      </c>
      <c r="M6" s="133" t="s">
        <v>24</v>
      </c>
      <c r="N6" s="133" t="s">
        <v>8</v>
      </c>
      <c r="O6" s="133" t="s">
        <v>9</v>
      </c>
      <c r="P6" s="133" t="s">
        <v>10</v>
      </c>
      <c r="Q6" s="133" t="s">
        <v>23</v>
      </c>
      <c r="R6" s="133" t="s">
        <v>24</v>
      </c>
      <c r="S6" s="133" t="s">
        <v>11</v>
      </c>
      <c r="T6" s="133" t="s">
        <v>12</v>
      </c>
      <c r="U6" s="133" t="s">
        <v>13</v>
      </c>
      <c r="V6" s="133" t="s">
        <v>23</v>
      </c>
      <c r="W6" s="133" t="s">
        <v>24</v>
      </c>
      <c r="X6" s="133" t="s">
        <v>14</v>
      </c>
      <c r="Y6" s="133" t="s">
        <v>15</v>
      </c>
      <c r="Z6" s="133" t="s">
        <v>16</v>
      </c>
      <c r="AA6" s="11"/>
      <c r="AB6" s="11"/>
      <c r="AC6" s="11"/>
    </row>
    <row r="7" spans="1:36" ht="39.75" customHeight="1" x14ac:dyDescent="0.2">
      <c r="A7" s="134" t="s">
        <v>54</v>
      </c>
      <c r="B7" s="135"/>
      <c r="C7" s="136" t="s">
        <v>55</v>
      </c>
      <c r="D7" s="137">
        <f>D10</f>
        <v>8000</v>
      </c>
      <c r="E7" s="137">
        <f>E10</f>
        <v>25250</v>
      </c>
      <c r="F7" s="138">
        <f>H7+M7+R7+W7</f>
        <v>21400.58</v>
      </c>
      <c r="G7" s="138">
        <f>G10+G142+G205+G223</f>
        <v>0</v>
      </c>
      <c r="H7" s="138">
        <f>I7+J7+K7</f>
        <v>0</v>
      </c>
      <c r="I7" s="138">
        <f t="shared" ref="I7:Z7" si="0">I10+I142+I205+I223</f>
        <v>0</v>
      </c>
      <c r="J7" s="138">
        <f t="shared" si="0"/>
        <v>0</v>
      </c>
      <c r="K7" s="138">
        <f t="shared" si="0"/>
        <v>0</v>
      </c>
      <c r="L7" s="139">
        <f>L10+L142+L205+L223</f>
        <v>0</v>
      </c>
      <c r="M7" s="139">
        <f>N7+O7+P7</f>
        <v>0</v>
      </c>
      <c r="N7" s="139">
        <f t="shared" si="0"/>
        <v>0</v>
      </c>
      <c r="O7" s="139">
        <f t="shared" si="0"/>
        <v>0</v>
      </c>
      <c r="P7" s="139">
        <f t="shared" si="0"/>
        <v>0</v>
      </c>
      <c r="Q7" s="139">
        <f t="shared" si="0"/>
        <v>0</v>
      </c>
      <c r="R7" s="139">
        <f>S7+T7+U7</f>
        <v>0</v>
      </c>
      <c r="S7" s="139">
        <f t="shared" si="0"/>
        <v>0</v>
      </c>
      <c r="T7" s="139">
        <f t="shared" si="0"/>
        <v>0</v>
      </c>
      <c r="U7" s="139">
        <f t="shared" si="0"/>
        <v>0</v>
      </c>
      <c r="V7" s="139">
        <f>V10+V142+V205+V223</f>
        <v>0</v>
      </c>
      <c r="W7" s="139">
        <f>X7+Y7+Z7</f>
        <v>21400.58</v>
      </c>
      <c r="X7" s="139">
        <f t="shared" si="0"/>
        <v>0</v>
      </c>
      <c r="Y7" s="139">
        <f t="shared" si="0"/>
        <v>3704</v>
      </c>
      <c r="Z7" s="139">
        <f t="shared" si="0"/>
        <v>17696.580000000002</v>
      </c>
      <c r="AA7" s="140"/>
      <c r="AB7" s="140"/>
      <c r="AC7" s="140"/>
      <c r="AD7" s="141"/>
      <c r="AE7" s="141"/>
      <c r="AF7" s="141"/>
      <c r="AG7" s="141"/>
      <c r="AH7" s="141"/>
      <c r="AI7" s="141"/>
      <c r="AJ7" s="141"/>
    </row>
    <row r="8" spans="1:36" ht="31.5" customHeight="1" x14ac:dyDescent="0.2">
      <c r="A8" s="142" t="s">
        <v>54</v>
      </c>
      <c r="B8" s="143"/>
      <c r="C8" s="144" t="s">
        <v>56</v>
      </c>
      <c r="D8" s="145"/>
      <c r="E8" s="146"/>
      <c r="F8" s="146"/>
      <c r="G8" s="147"/>
      <c r="H8" s="146"/>
      <c r="I8" s="147"/>
      <c r="J8" s="147"/>
      <c r="K8" s="147"/>
      <c r="L8" s="148"/>
      <c r="M8" s="149"/>
      <c r="N8" s="150"/>
      <c r="O8" s="150"/>
      <c r="P8" s="150"/>
      <c r="Q8" s="150"/>
      <c r="R8" s="149"/>
      <c r="S8" s="150"/>
      <c r="T8" s="150"/>
      <c r="U8" s="150"/>
      <c r="V8" s="150"/>
      <c r="W8" s="149"/>
      <c r="X8" s="150"/>
      <c r="Y8" s="150"/>
      <c r="Z8" s="150"/>
      <c r="AA8" s="11"/>
      <c r="AB8" s="11"/>
      <c r="AC8" s="11"/>
    </row>
    <row r="9" spans="1:36" ht="18" customHeight="1" x14ac:dyDescent="0.2">
      <c r="A9" s="142"/>
      <c r="B9" s="143"/>
      <c r="C9" s="144" t="s">
        <v>57</v>
      </c>
      <c r="D9" s="145"/>
      <c r="E9" s="146"/>
      <c r="F9" s="146"/>
      <c r="G9" s="147"/>
      <c r="H9" s="146"/>
      <c r="I9" s="147"/>
      <c r="J9" s="147"/>
      <c r="K9" s="147"/>
      <c r="L9" s="151"/>
      <c r="M9" s="152"/>
      <c r="N9" s="153"/>
      <c r="O9" s="153"/>
      <c r="P9" s="153"/>
      <c r="Q9" s="153"/>
      <c r="R9" s="152"/>
      <c r="S9" s="153"/>
      <c r="T9" s="153"/>
      <c r="U9" s="153"/>
      <c r="V9" s="153"/>
      <c r="W9" s="152"/>
      <c r="X9" s="153"/>
      <c r="Y9" s="153"/>
      <c r="Z9" s="153"/>
      <c r="AA9" s="11"/>
      <c r="AB9" s="11"/>
      <c r="AC9" s="11"/>
    </row>
    <row r="10" spans="1:36" s="161" customFormat="1" x14ac:dyDescent="0.25">
      <c r="A10" s="154" t="s">
        <v>54</v>
      </c>
      <c r="B10" s="155"/>
      <c r="C10" s="156" t="s">
        <v>34</v>
      </c>
      <c r="D10" s="158">
        <f>D11+D22+D122</f>
        <v>8000</v>
      </c>
      <c r="E10" s="158">
        <f>E11+E22+E122</f>
        <v>25250</v>
      </c>
      <c r="F10" s="158">
        <f>H10+M10+R10+W10</f>
        <v>21400.58</v>
      </c>
      <c r="G10" s="158">
        <f>G11+G22+G90+G98+G99+G109+G119</f>
        <v>0</v>
      </c>
      <c r="H10" s="158">
        <f t="shared" ref="H10:H13" si="1">I10+J10+K10</f>
        <v>0</v>
      </c>
      <c r="I10" s="158">
        <f t="shared" ref="I10:X10" si="2">I11+I22+I90+I98+I99+I109+I119</f>
        <v>0</v>
      </c>
      <c r="J10" s="158">
        <f t="shared" si="2"/>
        <v>0</v>
      </c>
      <c r="K10" s="158">
        <f t="shared" si="2"/>
        <v>0</v>
      </c>
      <c r="L10" s="159">
        <f t="shared" si="2"/>
        <v>0</v>
      </c>
      <c r="M10" s="160">
        <f t="shared" ref="M10:M53" si="3">N10+O10+P10</f>
        <v>0</v>
      </c>
      <c r="N10" s="160">
        <f t="shared" si="2"/>
        <v>0</v>
      </c>
      <c r="O10" s="160">
        <f t="shared" si="2"/>
        <v>0</v>
      </c>
      <c r="P10" s="160">
        <f t="shared" si="2"/>
        <v>0</v>
      </c>
      <c r="Q10" s="160">
        <f t="shared" si="2"/>
        <v>0</v>
      </c>
      <c r="R10" s="160">
        <f t="shared" ref="R10:R53" si="4">S10+T10+U10</f>
        <v>0</v>
      </c>
      <c r="S10" s="160">
        <f t="shared" si="2"/>
        <v>0</v>
      </c>
      <c r="T10" s="160">
        <f t="shared" si="2"/>
        <v>0</v>
      </c>
      <c r="U10" s="160">
        <f t="shared" si="2"/>
        <v>0</v>
      </c>
      <c r="V10" s="160">
        <f t="shared" si="2"/>
        <v>0</v>
      </c>
      <c r="W10" s="160">
        <f t="shared" ref="W10:W53" si="5">X10+Y10+Z10</f>
        <v>21400.58</v>
      </c>
      <c r="X10" s="160">
        <f t="shared" si="2"/>
        <v>0</v>
      </c>
      <c r="Y10" s="160">
        <f>Y11+Y22+Y90+Y98+Y99+Y109+Y119+Y122</f>
        <v>3704</v>
      </c>
      <c r="Z10" s="160">
        <f>Z11+Z22+Z90+Z98+Z99+Z109+Z119+Z122</f>
        <v>17696.580000000002</v>
      </c>
    </row>
    <row r="11" spans="1:36" x14ac:dyDescent="0.2">
      <c r="A11" s="134" t="s">
        <v>54</v>
      </c>
      <c r="B11" s="162"/>
      <c r="C11" s="163" t="s">
        <v>35</v>
      </c>
      <c r="D11" s="157">
        <f>D12+D21</f>
        <v>0</v>
      </c>
      <c r="E11" s="158">
        <f>E12</f>
        <v>5000</v>
      </c>
      <c r="F11" s="158">
        <f t="shared" ref="F11:F13" si="6">H11+M11+R11+W11</f>
        <v>8000</v>
      </c>
      <c r="G11" s="158">
        <f>G12+G21</f>
        <v>0</v>
      </c>
      <c r="H11" s="158">
        <f t="shared" si="1"/>
        <v>0</v>
      </c>
      <c r="I11" s="158">
        <f t="shared" ref="I11:Z11" si="7">I12+I21</f>
        <v>0</v>
      </c>
      <c r="J11" s="158">
        <f t="shared" si="7"/>
        <v>0</v>
      </c>
      <c r="K11" s="158">
        <f t="shared" si="7"/>
        <v>0</v>
      </c>
      <c r="L11" s="159">
        <f t="shared" si="7"/>
        <v>0</v>
      </c>
      <c r="M11" s="160">
        <f t="shared" si="3"/>
        <v>0</v>
      </c>
      <c r="N11" s="160">
        <f t="shared" si="7"/>
        <v>0</v>
      </c>
      <c r="O11" s="160">
        <f t="shared" si="7"/>
        <v>0</v>
      </c>
      <c r="P11" s="160">
        <f t="shared" si="7"/>
        <v>0</v>
      </c>
      <c r="Q11" s="160">
        <f t="shared" si="7"/>
        <v>0</v>
      </c>
      <c r="R11" s="160">
        <f t="shared" si="4"/>
        <v>0</v>
      </c>
      <c r="S11" s="160">
        <f t="shared" si="7"/>
        <v>0</v>
      </c>
      <c r="T11" s="160">
        <f t="shared" si="7"/>
        <v>0</v>
      </c>
      <c r="U11" s="160">
        <f t="shared" si="7"/>
        <v>0</v>
      </c>
      <c r="V11" s="160">
        <f t="shared" si="7"/>
        <v>0</v>
      </c>
      <c r="W11" s="160">
        <f t="shared" si="5"/>
        <v>8000</v>
      </c>
      <c r="X11" s="160">
        <f t="shared" si="7"/>
        <v>0</v>
      </c>
      <c r="Y11" s="160">
        <f t="shared" si="7"/>
        <v>0</v>
      </c>
      <c r="Z11" s="160">
        <f t="shared" si="7"/>
        <v>8000</v>
      </c>
      <c r="AA11" s="11"/>
      <c r="AB11" s="11"/>
      <c r="AC11" s="11"/>
    </row>
    <row r="12" spans="1:36" x14ac:dyDescent="0.2">
      <c r="A12" s="134"/>
      <c r="B12" s="164"/>
      <c r="C12" s="165" t="s">
        <v>58</v>
      </c>
      <c r="D12" s="166">
        <f>D13+D20</f>
        <v>0</v>
      </c>
      <c r="E12" s="167">
        <f>E13</f>
        <v>5000</v>
      </c>
      <c r="F12" s="167">
        <f t="shared" si="6"/>
        <v>8000</v>
      </c>
      <c r="G12" s="167">
        <f>G13+G20</f>
        <v>0</v>
      </c>
      <c r="H12" s="167">
        <f t="shared" si="1"/>
        <v>0</v>
      </c>
      <c r="I12" s="167">
        <f>I13+I20</f>
        <v>0</v>
      </c>
      <c r="J12" s="167">
        <f t="shared" ref="J12:Z12" si="8">J13+J20</f>
        <v>0</v>
      </c>
      <c r="K12" s="167">
        <f t="shared" si="8"/>
        <v>0</v>
      </c>
      <c r="L12" s="168">
        <f t="shared" si="8"/>
        <v>0</v>
      </c>
      <c r="M12" s="169">
        <f t="shared" si="3"/>
        <v>0</v>
      </c>
      <c r="N12" s="169">
        <f t="shared" si="8"/>
        <v>0</v>
      </c>
      <c r="O12" s="169">
        <f t="shared" si="8"/>
        <v>0</v>
      </c>
      <c r="P12" s="169">
        <f t="shared" si="8"/>
        <v>0</v>
      </c>
      <c r="Q12" s="169">
        <f t="shared" si="8"/>
        <v>0</v>
      </c>
      <c r="R12" s="169">
        <f t="shared" si="4"/>
        <v>0</v>
      </c>
      <c r="S12" s="169">
        <f t="shared" si="8"/>
        <v>0</v>
      </c>
      <c r="T12" s="169">
        <f t="shared" si="8"/>
        <v>0</v>
      </c>
      <c r="U12" s="169">
        <f t="shared" si="8"/>
        <v>0</v>
      </c>
      <c r="V12" s="169">
        <f t="shared" si="8"/>
        <v>0</v>
      </c>
      <c r="W12" s="169">
        <f t="shared" si="5"/>
        <v>8000</v>
      </c>
      <c r="X12" s="169">
        <f t="shared" si="8"/>
        <v>0</v>
      </c>
      <c r="Y12" s="169">
        <f t="shared" si="8"/>
        <v>0</v>
      </c>
      <c r="Z12" s="169">
        <f t="shared" si="8"/>
        <v>8000</v>
      </c>
      <c r="AA12" s="11"/>
      <c r="AB12" s="11"/>
      <c r="AC12" s="11"/>
    </row>
    <row r="13" spans="1:36" ht="21.75" customHeight="1" x14ac:dyDescent="0.2">
      <c r="A13" s="134"/>
      <c r="B13" s="170"/>
      <c r="C13" s="171" t="s">
        <v>59</v>
      </c>
      <c r="D13" s="166"/>
      <c r="E13" s="167">
        <v>5000</v>
      </c>
      <c r="F13" s="167">
        <f t="shared" si="6"/>
        <v>8000</v>
      </c>
      <c r="G13" s="167">
        <f>SUM(G14:G19)</f>
        <v>0</v>
      </c>
      <c r="H13" s="167">
        <f t="shared" si="1"/>
        <v>0</v>
      </c>
      <c r="I13" s="167">
        <f>SUM(I14:I19)</f>
        <v>0</v>
      </c>
      <c r="J13" s="167">
        <f>SUM(J14:J19)</f>
        <v>0</v>
      </c>
      <c r="K13" s="167">
        <f t="shared" ref="K13:Z13" si="9">SUM(K14:K19)</f>
        <v>0</v>
      </c>
      <c r="L13" s="168">
        <f t="shared" si="9"/>
        <v>0</v>
      </c>
      <c r="M13" s="169">
        <f t="shared" si="3"/>
        <v>0</v>
      </c>
      <c r="N13" s="169">
        <f t="shared" si="9"/>
        <v>0</v>
      </c>
      <c r="O13" s="169">
        <f t="shared" si="9"/>
        <v>0</v>
      </c>
      <c r="P13" s="169">
        <f t="shared" si="9"/>
        <v>0</v>
      </c>
      <c r="Q13" s="169">
        <f t="shared" si="9"/>
        <v>0</v>
      </c>
      <c r="R13" s="169">
        <f t="shared" si="4"/>
        <v>0</v>
      </c>
      <c r="S13" s="169">
        <f t="shared" si="9"/>
        <v>0</v>
      </c>
      <c r="T13" s="169">
        <f t="shared" si="9"/>
        <v>0</v>
      </c>
      <c r="U13" s="169">
        <f t="shared" si="9"/>
        <v>0</v>
      </c>
      <c r="V13" s="169">
        <f t="shared" si="9"/>
        <v>0</v>
      </c>
      <c r="W13" s="169">
        <f t="shared" si="5"/>
        <v>8000</v>
      </c>
      <c r="X13" s="169">
        <f t="shared" si="9"/>
        <v>0</v>
      </c>
      <c r="Y13" s="169">
        <f t="shared" si="9"/>
        <v>0</v>
      </c>
      <c r="Z13" s="169">
        <f t="shared" si="9"/>
        <v>8000</v>
      </c>
      <c r="AA13" s="11"/>
      <c r="AB13" s="11"/>
      <c r="AC13" s="11"/>
    </row>
    <row r="14" spans="1:36" x14ac:dyDescent="0.2">
      <c r="A14" s="134"/>
      <c r="B14" s="172"/>
      <c r="C14" s="173" t="s">
        <v>60</v>
      </c>
      <c r="D14" s="166"/>
      <c r="E14" s="147"/>
      <c r="F14" s="147"/>
      <c r="G14" s="147"/>
      <c r="H14" s="174"/>
      <c r="I14" s="175"/>
      <c r="J14" s="175"/>
      <c r="K14" s="175"/>
      <c r="L14" s="176"/>
      <c r="M14" s="177"/>
      <c r="N14" s="178"/>
      <c r="O14" s="178"/>
      <c r="P14" s="178"/>
      <c r="Q14" s="178"/>
      <c r="R14" s="177"/>
      <c r="S14" s="178"/>
      <c r="T14" s="178"/>
      <c r="U14" s="178"/>
      <c r="V14" s="178"/>
      <c r="W14" s="177"/>
      <c r="X14" s="153"/>
      <c r="Y14" s="153"/>
      <c r="Z14" s="153">
        <v>8000</v>
      </c>
    </row>
    <row r="15" spans="1:36" x14ac:dyDescent="0.2">
      <c r="A15" s="142"/>
      <c r="B15" s="172"/>
      <c r="C15" s="173" t="s">
        <v>61</v>
      </c>
      <c r="D15" s="166"/>
      <c r="E15" s="147"/>
      <c r="F15" s="147"/>
      <c r="G15" s="147"/>
      <c r="H15" s="174"/>
      <c r="I15" s="175"/>
      <c r="J15" s="175"/>
      <c r="K15" s="175"/>
      <c r="L15" s="176"/>
      <c r="M15" s="177"/>
      <c r="N15" s="178"/>
      <c r="O15" s="178"/>
      <c r="P15" s="178"/>
      <c r="Q15" s="178"/>
      <c r="R15" s="177"/>
      <c r="S15" s="178"/>
      <c r="T15" s="178"/>
      <c r="U15" s="178"/>
      <c r="V15" s="178"/>
      <c r="W15" s="177"/>
      <c r="X15" s="153"/>
      <c r="Y15" s="153"/>
      <c r="Z15" s="153"/>
    </row>
    <row r="16" spans="1:36" x14ac:dyDescent="0.2">
      <c r="A16" s="134"/>
      <c r="B16" s="172"/>
      <c r="C16" s="173" t="s">
        <v>62</v>
      </c>
      <c r="D16" s="166"/>
      <c r="E16" s="147"/>
      <c r="F16" s="147"/>
      <c r="G16" s="147"/>
      <c r="H16" s="174"/>
      <c r="I16" s="175"/>
      <c r="J16" s="175"/>
      <c r="K16" s="175"/>
      <c r="L16" s="176"/>
      <c r="M16" s="177"/>
      <c r="N16" s="178"/>
      <c r="O16" s="178"/>
      <c r="P16" s="178"/>
      <c r="Q16" s="178"/>
      <c r="R16" s="177"/>
      <c r="S16" s="178"/>
      <c r="T16" s="178"/>
      <c r="U16" s="178"/>
      <c r="V16" s="178"/>
      <c r="W16" s="177"/>
      <c r="X16" s="153"/>
      <c r="Y16" s="153"/>
      <c r="Z16" s="153"/>
    </row>
    <row r="17" spans="1:36" x14ac:dyDescent="0.2">
      <c r="A17" s="134"/>
      <c r="B17" s="172"/>
      <c r="C17" s="173" t="s">
        <v>63</v>
      </c>
      <c r="D17" s="166"/>
      <c r="E17" s="147"/>
      <c r="F17" s="147"/>
      <c r="G17" s="147"/>
      <c r="H17" s="174"/>
      <c r="I17" s="175"/>
      <c r="J17" s="175"/>
      <c r="K17" s="175"/>
      <c r="L17" s="176"/>
      <c r="M17" s="177"/>
      <c r="N17" s="178"/>
      <c r="O17" s="178"/>
      <c r="P17" s="178"/>
      <c r="Q17" s="178"/>
      <c r="R17" s="177"/>
      <c r="S17" s="178"/>
      <c r="T17" s="178"/>
      <c r="U17" s="178"/>
      <c r="V17" s="178"/>
      <c r="W17" s="177"/>
      <c r="X17" s="153"/>
      <c r="Y17" s="153"/>
      <c r="Z17" s="153"/>
    </row>
    <row r="18" spans="1:36" x14ac:dyDescent="0.2">
      <c r="A18" s="142"/>
      <c r="B18" s="172"/>
      <c r="C18" s="173" t="s">
        <v>64</v>
      </c>
      <c r="D18" s="166"/>
      <c r="E18" s="147"/>
      <c r="F18" s="147"/>
      <c r="G18" s="147"/>
      <c r="H18" s="174"/>
      <c r="I18" s="175"/>
      <c r="J18" s="175"/>
      <c r="K18" s="175"/>
      <c r="L18" s="176"/>
      <c r="M18" s="177"/>
      <c r="N18" s="178"/>
      <c r="O18" s="178"/>
      <c r="P18" s="178"/>
      <c r="Q18" s="178"/>
      <c r="R18" s="177"/>
      <c r="S18" s="178"/>
      <c r="T18" s="178"/>
      <c r="U18" s="178"/>
      <c r="V18" s="178"/>
      <c r="W18" s="177"/>
      <c r="X18" s="153"/>
      <c r="Y18" s="153"/>
      <c r="Z18" s="153"/>
      <c r="AA18" s="11"/>
      <c r="AB18" s="11"/>
      <c r="AC18" s="11"/>
    </row>
    <row r="19" spans="1:36" x14ac:dyDescent="0.2">
      <c r="A19" s="142"/>
      <c r="B19" s="172"/>
      <c r="C19" s="173" t="s">
        <v>65</v>
      </c>
      <c r="D19" s="166"/>
      <c r="E19" s="147"/>
      <c r="F19" s="147"/>
      <c r="G19" s="147"/>
      <c r="H19" s="174"/>
      <c r="I19" s="175"/>
      <c r="J19" s="175"/>
      <c r="K19" s="175"/>
      <c r="L19" s="176"/>
      <c r="M19" s="177"/>
      <c r="N19" s="178"/>
      <c r="O19" s="178"/>
      <c r="P19" s="178"/>
      <c r="Q19" s="178"/>
      <c r="R19" s="177"/>
      <c r="S19" s="178"/>
      <c r="T19" s="178"/>
      <c r="U19" s="178"/>
      <c r="V19" s="178"/>
      <c r="W19" s="177"/>
      <c r="X19" s="153"/>
      <c r="Y19" s="153"/>
      <c r="Z19" s="153"/>
      <c r="AA19" s="11"/>
      <c r="AB19" s="11"/>
      <c r="AC19" s="11"/>
    </row>
    <row r="20" spans="1:36" x14ac:dyDescent="0.2">
      <c r="A20" s="142"/>
      <c r="B20" s="179"/>
      <c r="C20" s="171" t="s">
        <v>66</v>
      </c>
      <c r="D20" s="166"/>
      <c r="E20" s="147"/>
      <c r="F20" s="147"/>
      <c r="G20" s="147"/>
      <c r="H20" s="174"/>
      <c r="I20" s="175"/>
      <c r="J20" s="175"/>
      <c r="K20" s="175"/>
      <c r="L20" s="176"/>
      <c r="M20" s="177"/>
      <c r="N20" s="178"/>
      <c r="O20" s="178"/>
      <c r="P20" s="178"/>
      <c r="Q20" s="178"/>
      <c r="R20" s="177"/>
      <c r="S20" s="178"/>
      <c r="T20" s="178"/>
      <c r="U20" s="178"/>
      <c r="V20" s="178"/>
      <c r="W20" s="177"/>
      <c r="X20" s="153"/>
      <c r="Y20" s="153"/>
      <c r="Z20" s="153"/>
      <c r="AA20" s="11"/>
      <c r="AB20" s="11"/>
      <c r="AC20" s="11"/>
    </row>
    <row r="21" spans="1:36" x14ac:dyDescent="0.2">
      <c r="A21" s="142"/>
      <c r="B21" s="180"/>
      <c r="C21" s="165" t="s">
        <v>67</v>
      </c>
      <c r="D21" s="166"/>
      <c r="E21" s="147"/>
      <c r="F21" s="147"/>
      <c r="G21" s="147"/>
      <c r="H21" s="174"/>
      <c r="I21" s="175"/>
      <c r="J21" s="175"/>
      <c r="K21" s="175"/>
      <c r="L21" s="176"/>
      <c r="M21" s="177"/>
      <c r="N21" s="178"/>
      <c r="O21" s="178"/>
      <c r="P21" s="178"/>
      <c r="Q21" s="178"/>
      <c r="R21" s="177"/>
      <c r="S21" s="178"/>
      <c r="T21" s="178"/>
      <c r="U21" s="178"/>
      <c r="V21" s="178"/>
      <c r="W21" s="177"/>
      <c r="X21" s="153"/>
      <c r="Y21" s="153"/>
      <c r="Z21" s="153"/>
      <c r="AA21" s="11"/>
      <c r="AB21" s="11"/>
      <c r="AC21" s="11"/>
    </row>
    <row r="22" spans="1:36" x14ac:dyDescent="0.2">
      <c r="A22" s="134" t="s">
        <v>54</v>
      </c>
      <c r="B22" s="162"/>
      <c r="C22" s="163" t="s">
        <v>36</v>
      </c>
      <c r="D22" s="158">
        <v>8000</v>
      </c>
      <c r="E22" s="158">
        <v>18500</v>
      </c>
      <c r="F22" s="167">
        <f>H22+M22+R22+W22</f>
        <v>9530.18</v>
      </c>
      <c r="G22" s="158">
        <f t="shared" ref="G22:H22" si="10">G23+G24+G27+G63+G64+G65+G66+G67+G74+G75</f>
        <v>0</v>
      </c>
      <c r="H22" s="158">
        <f t="shared" si="10"/>
        <v>0</v>
      </c>
      <c r="I22" s="158">
        <f>I23+I24+I27+I63+I64+I65+I66+I67+I74+I75</f>
        <v>0</v>
      </c>
      <c r="J22" s="158">
        <f t="shared" ref="J22:Z22" si="11">J23+J24+J27+J63+J64+J65+J66+J67+J74+J75</f>
        <v>0</v>
      </c>
      <c r="K22" s="158">
        <f t="shared" si="11"/>
        <v>0</v>
      </c>
      <c r="L22" s="159">
        <f t="shared" si="11"/>
        <v>0</v>
      </c>
      <c r="M22" s="160">
        <f t="shared" si="3"/>
        <v>0</v>
      </c>
      <c r="N22" s="160">
        <f t="shared" si="11"/>
        <v>0</v>
      </c>
      <c r="O22" s="160">
        <f t="shared" si="11"/>
        <v>0</v>
      </c>
      <c r="P22" s="160">
        <f t="shared" si="11"/>
        <v>0</v>
      </c>
      <c r="Q22" s="160">
        <f t="shared" si="11"/>
        <v>0</v>
      </c>
      <c r="R22" s="160">
        <f t="shared" si="4"/>
        <v>0</v>
      </c>
      <c r="S22" s="160">
        <f t="shared" si="11"/>
        <v>0</v>
      </c>
      <c r="T22" s="160">
        <f t="shared" si="11"/>
        <v>0</v>
      </c>
      <c r="U22" s="160">
        <f t="shared" si="11"/>
        <v>0</v>
      </c>
      <c r="V22" s="160">
        <f t="shared" si="11"/>
        <v>0</v>
      </c>
      <c r="W22" s="160">
        <f t="shared" si="5"/>
        <v>9530.18</v>
      </c>
      <c r="X22" s="160">
        <f t="shared" si="11"/>
        <v>0</v>
      </c>
      <c r="Y22" s="160">
        <f t="shared" si="11"/>
        <v>2760</v>
      </c>
      <c r="Z22" s="160">
        <f t="shared" si="11"/>
        <v>6770.18</v>
      </c>
      <c r="AA22" s="11"/>
      <c r="AB22" s="11"/>
      <c r="AC22" s="11"/>
    </row>
    <row r="23" spans="1:36" x14ac:dyDescent="0.2">
      <c r="A23" s="134"/>
      <c r="B23" s="180"/>
      <c r="C23" s="165" t="s">
        <v>68</v>
      </c>
      <c r="D23" s="175"/>
      <c r="E23" s="175"/>
      <c r="F23" s="175"/>
      <c r="G23" s="175"/>
      <c r="H23" s="175"/>
      <c r="I23" s="175"/>
      <c r="J23" s="175"/>
      <c r="K23" s="175"/>
      <c r="L23" s="176"/>
      <c r="M23" s="177"/>
      <c r="N23" s="178"/>
      <c r="O23" s="178"/>
      <c r="P23" s="178"/>
      <c r="Q23" s="178"/>
      <c r="R23" s="177"/>
      <c r="S23" s="178"/>
      <c r="T23" s="178"/>
      <c r="U23" s="178"/>
      <c r="V23" s="178"/>
      <c r="W23" s="177"/>
      <c r="X23" s="153"/>
      <c r="Y23" s="153"/>
      <c r="Z23" s="153">
        <v>600</v>
      </c>
      <c r="AA23" s="11"/>
      <c r="AB23" s="11"/>
      <c r="AC23" s="11"/>
    </row>
    <row r="24" spans="1:36" x14ac:dyDescent="0.2">
      <c r="A24" s="134"/>
      <c r="B24" s="164"/>
      <c r="C24" s="165" t="s">
        <v>69</v>
      </c>
      <c r="D24" s="167">
        <f t="shared" ref="D24:H24" si="12">SUM(D25:D26)</f>
        <v>0</v>
      </c>
      <c r="E24" s="167">
        <f t="shared" si="12"/>
        <v>0</v>
      </c>
      <c r="F24" s="167">
        <f t="shared" ref="F24:F27" si="13">H24+M24+R24+W24</f>
        <v>8034</v>
      </c>
      <c r="G24" s="167">
        <f t="shared" si="12"/>
        <v>0</v>
      </c>
      <c r="H24" s="167">
        <f t="shared" si="12"/>
        <v>0</v>
      </c>
      <c r="I24" s="167">
        <f t="shared" ref="I24:Z24" si="14">SUM(I25:I26)</f>
        <v>0</v>
      </c>
      <c r="J24" s="167">
        <f t="shared" si="14"/>
        <v>0</v>
      </c>
      <c r="K24" s="167">
        <f t="shared" si="14"/>
        <v>0</v>
      </c>
      <c r="L24" s="168">
        <f t="shared" si="14"/>
        <v>0</v>
      </c>
      <c r="M24" s="169">
        <f t="shared" si="3"/>
        <v>0</v>
      </c>
      <c r="N24" s="169">
        <f t="shared" si="14"/>
        <v>0</v>
      </c>
      <c r="O24" s="169">
        <f t="shared" si="14"/>
        <v>0</v>
      </c>
      <c r="P24" s="169">
        <f t="shared" si="14"/>
        <v>0</v>
      </c>
      <c r="Q24" s="169">
        <f t="shared" si="14"/>
        <v>0</v>
      </c>
      <c r="R24" s="169">
        <f t="shared" si="4"/>
        <v>0</v>
      </c>
      <c r="S24" s="169">
        <f t="shared" si="14"/>
        <v>0</v>
      </c>
      <c r="T24" s="169">
        <f t="shared" si="14"/>
        <v>0</v>
      </c>
      <c r="U24" s="169">
        <f t="shared" si="14"/>
        <v>0</v>
      </c>
      <c r="V24" s="169">
        <f t="shared" si="14"/>
        <v>0</v>
      </c>
      <c r="W24" s="169">
        <f t="shared" si="5"/>
        <v>8034</v>
      </c>
      <c r="X24" s="169">
        <f t="shared" si="14"/>
        <v>0</v>
      </c>
      <c r="Y24" s="169">
        <f t="shared" si="14"/>
        <v>2760</v>
      </c>
      <c r="Z24" s="169">
        <f t="shared" si="14"/>
        <v>5274</v>
      </c>
      <c r="AA24" s="11"/>
      <c r="AB24" s="11"/>
      <c r="AC24" s="11"/>
    </row>
    <row r="25" spans="1:36" s="10" customFormat="1" x14ac:dyDescent="0.2">
      <c r="A25" s="134"/>
      <c r="B25" s="179"/>
      <c r="C25" s="171" t="s">
        <v>70</v>
      </c>
      <c r="D25" s="175"/>
      <c r="E25" s="175"/>
      <c r="F25" s="167">
        <f t="shared" si="13"/>
        <v>0</v>
      </c>
      <c r="G25" s="175"/>
      <c r="H25" s="175"/>
      <c r="I25" s="175"/>
      <c r="J25" s="175"/>
      <c r="K25" s="175"/>
      <c r="L25" s="176"/>
      <c r="M25" s="177"/>
      <c r="N25" s="178"/>
      <c r="O25" s="178"/>
      <c r="P25" s="178"/>
      <c r="Q25" s="178"/>
      <c r="R25" s="177"/>
      <c r="S25" s="178"/>
      <c r="T25" s="178"/>
      <c r="U25" s="178"/>
      <c r="V25" s="178"/>
      <c r="W25" s="177"/>
      <c r="X25" s="153"/>
      <c r="Y25" s="153">
        <v>2760</v>
      </c>
      <c r="Z25" s="153">
        <v>5274</v>
      </c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6" s="10" customFormat="1" x14ac:dyDescent="0.2">
      <c r="A26" s="134"/>
      <c r="B26" s="179"/>
      <c r="C26" s="171" t="s">
        <v>71</v>
      </c>
      <c r="D26" s="175"/>
      <c r="E26" s="175"/>
      <c r="F26" s="167">
        <f t="shared" si="13"/>
        <v>0</v>
      </c>
      <c r="G26" s="175"/>
      <c r="H26" s="175"/>
      <c r="I26" s="175"/>
      <c r="J26" s="175"/>
      <c r="K26" s="175"/>
      <c r="L26" s="176"/>
      <c r="M26" s="177"/>
      <c r="N26" s="178"/>
      <c r="O26" s="178"/>
      <c r="P26" s="178"/>
      <c r="Q26" s="178"/>
      <c r="R26" s="177"/>
      <c r="S26" s="178"/>
      <c r="T26" s="178"/>
      <c r="U26" s="178"/>
      <c r="V26" s="178"/>
      <c r="W26" s="177"/>
      <c r="X26" s="153"/>
      <c r="Y26" s="153"/>
      <c r="Z26" s="153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s="10" customFormat="1" x14ac:dyDescent="0.2">
      <c r="A27" s="134"/>
      <c r="B27" s="164"/>
      <c r="C27" s="165" t="s">
        <v>72</v>
      </c>
      <c r="D27" s="167">
        <f t="shared" ref="D27:H27" si="15">D28+D29+D30+D31+D43+D47+D48+D49+D50+D51+D52+D53+D61+D62</f>
        <v>0</v>
      </c>
      <c r="E27" s="167">
        <f t="shared" si="15"/>
        <v>0</v>
      </c>
      <c r="F27" s="167">
        <f t="shared" si="13"/>
        <v>0</v>
      </c>
      <c r="G27" s="167">
        <f t="shared" si="15"/>
        <v>0</v>
      </c>
      <c r="H27" s="167">
        <f t="shared" si="15"/>
        <v>0</v>
      </c>
      <c r="I27" s="167">
        <f t="shared" ref="I27:Z27" si="16">I28+I29+I30+I31+I43+I47+I48+I49+I50+I51+I52+I53+I61+I62</f>
        <v>0</v>
      </c>
      <c r="J27" s="167">
        <f t="shared" si="16"/>
        <v>0</v>
      </c>
      <c r="K27" s="167">
        <f t="shared" si="16"/>
        <v>0</v>
      </c>
      <c r="L27" s="168">
        <f t="shared" si="16"/>
        <v>0</v>
      </c>
      <c r="M27" s="169">
        <f t="shared" si="3"/>
        <v>0</v>
      </c>
      <c r="N27" s="169">
        <f t="shared" si="16"/>
        <v>0</v>
      </c>
      <c r="O27" s="169">
        <f t="shared" si="16"/>
        <v>0</v>
      </c>
      <c r="P27" s="169">
        <f t="shared" si="16"/>
        <v>0</v>
      </c>
      <c r="Q27" s="169">
        <f>Q28+Q29+Q30+Q31+Q43+Q47+Q48+Q49+Q50+Q51+Q52+Q53+Q61+Q62</f>
        <v>0</v>
      </c>
      <c r="R27" s="169">
        <f t="shared" si="4"/>
        <v>0</v>
      </c>
      <c r="S27" s="169">
        <f t="shared" si="16"/>
        <v>0</v>
      </c>
      <c r="T27" s="169">
        <f t="shared" si="16"/>
        <v>0</v>
      </c>
      <c r="U27" s="169">
        <f t="shared" si="16"/>
        <v>0</v>
      </c>
      <c r="V27" s="169">
        <f t="shared" si="16"/>
        <v>0</v>
      </c>
      <c r="W27" s="169">
        <f t="shared" si="5"/>
        <v>0</v>
      </c>
      <c r="X27" s="169">
        <f t="shared" si="16"/>
        <v>0</v>
      </c>
      <c r="Y27" s="169">
        <f t="shared" si="16"/>
        <v>0</v>
      </c>
      <c r="Z27" s="169">
        <f t="shared" si="16"/>
        <v>0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6" s="10" customFormat="1" ht="72" x14ac:dyDescent="0.2">
      <c r="A28" s="134"/>
      <c r="B28" s="179"/>
      <c r="C28" s="171" t="s">
        <v>73</v>
      </c>
      <c r="D28" s="175"/>
      <c r="E28" s="175"/>
      <c r="F28" s="167"/>
      <c r="G28" s="167"/>
      <c r="H28" s="175"/>
      <c r="I28" s="175"/>
      <c r="J28" s="175"/>
      <c r="K28" s="175"/>
      <c r="L28" s="176"/>
      <c r="M28" s="177"/>
      <c r="N28" s="178"/>
      <c r="O28" s="178"/>
      <c r="P28" s="178"/>
      <c r="Q28" s="178"/>
      <c r="R28" s="177"/>
      <c r="S28" s="178"/>
      <c r="T28" s="178"/>
      <c r="U28" s="178"/>
      <c r="V28" s="178"/>
      <c r="W28" s="177"/>
      <c r="X28" s="153"/>
      <c r="Y28" s="153"/>
      <c r="Z28" s="153"/>
      <c r="AA28" s="11"/>
      <c r="AB28" s="11"/>
      <c r="AC28" s="11"/>
      <c r="AD28" s="11"/>
      <c r="AE28" s="11"/>
      <c r="AF28" s="11"/>
      <c r="AG28" s="11"/>
      <c r="AH28" s="11"/>
      <c r="AI28" s="11"/>
      <c r="AJ28" s="11"/>
    </row>
    <row r="29" spans="1:36" s="10" customFormat="1" ht="36" x14ac:dyDescent="0.2">
      <c r="A29" s="142"/>
      <c r="B29" s="179"/>
      <c r="C29" s="171" t="s">
        <v>74</v>
      </c>
      <c r="D29" s="175"/>
      <c r="E29" s="175"/>
      <c r="F29" s="175"/>
      <c r="G29" s="175"/>
      <c r="H29" s="175"/>
      <c r="I29" s="175"/>
      <c r="J29" s="175"/>
      <c r="K29" s="175"/>
      <c r="L29" s="176"/>
      <c r="M29" s="177"/>
      <c r="N29" s="178"/>
      <c r="O29" s="178"/>
      <c r="P29" s="178"/>
      <c r="Q29" s="178"/>
      <c r="R29" s="177"/>
      <c r="S29" s="178"/>
      <c r="T29" s="178"/>
      <c r="U29" s="178"/>
      <c r="V29" s="178"/>
      <c r="W29" s="177"/>
      <c r="X29" s="153"/>
      <c r="Y29" s="153"/>
      <c r="Z29" s="153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36" s="10" customFormat="1" ht="72" customHeight="1" x14ac:dyDescent="0.2">
      <c r="A30" s="134"/>
      <c r="B30" s="179"/>
      <c r="C30" s="171" t="s">
        <v>75</v>
      </c>
      <c r="D30" s="175"/>
      <c r="E30" s="175"/>
      <c r="F30" s="175"/>
      <c r="G30" s="175"/>
      <c r="H30" s="175"/>
      <c r="I30" s="175"/>
      <c r="J30" s="175"/>
      <c r="K30" s="175"/>
      <c r="L30" s="176"/>
      <c r="M30" s="177"/>
      <c r="N30" s="178"/>
      <c r="O30" s="178"/>
      <c r="P30" s="178"/>
      <c r="Q30" s="178"/>
      <c r="R30" s="177"/>
      <c r="S30" s="178"/>
      <c r="T30" s="178"/>
      <c r="U30" s="178"/>
      <c r="V30" s="178"/>
      <c r="W30" s="177"/>
      <c r="X30" s="153"/>
      <c r="Y30" s="153"/>
      <c r="Z30" s="153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 spans="1:36" s="10" customFormat="1" ht="36" x14ac:dyDescent="0.2">
      <c r="A31" s="134"/>
      <c r="B31" s="170"/>
      <c r="C31" s="171" t="s">
        <v>76</v>
      </c>
      <c r="D31" s="167">
        <f t="shared" ref="D31:H31" si="17">SUM(D32:D42)</f>
        <v>0</v>
      </c>
      <c r="E31" s="167">
        <f t="shared" si="17"/>
        <v>0</v>
      </c>
      <c r="F31" s="167">
        <f t="shared" si="17"/>
        <v>0</v>
      </c>
      <c r="G31" s="167">
        <f t="shared" si="17"/>
        <v>0</v>
      </c>
      <c r="H31" s="167">
        <f t="shared" si="17"/>
        <v>0</v>
      </c>
      <c r="I31" s="167">
        <f t="shared" ref="I31:Z31" si="18">SUM(I32:I42)</f>
        <v>0</v>
      </c>
      <c r="J31" s="167">
        <f t="shared" si="18"/>
        <v>0</v>
      </c>
      <c r="K31" s="167">
        <f t="shared" si="18"/>
        <v>0</v>
      </c>
      <c r="L31" s="168">
        <f t="shared" si="18"/>
        <v>0</v>
      </c>
      <c r="M31" s="169">
        <f t="shared" si="3"/>
        <v>0</v>
      </c>
      <c r="N31" s="169">
        <f t="shared" si="18"/>
        <v>0</v>
      </c>
      <c r="O31" s="169">
        <f t="shared" si="18"/>
        <v>0</v>
      </c>
      <c r="P31" s="169">
        <f t="shared" si="18"/>
        <v>0</v>
      </c>
      <c r="Q31" s="169">
        <f t="shared" si="18"/>
        <v>0</v>
      </c>
      <c r="R31" s="169">
        <f t="shared" si="4"/>
        <v>0</v>
      </c>
      <c r="S31" s="169">
        <f t="shared" si="18"/>
        <v>0</v>
      </c>
      <c r="T31" s="169">
        <f t="shared" si="18"/>
        <v>0</v>
      </c>
      <c r="U31" s="169">
        <f t="shared" si="18"/>
        <v>0</v>
      </c>
      <c r="V31" s="169">
        <f t="shared" si="18"/>
        <v>0</v>
      </c>
      <c r="W31" s="169">
        <f t="shared" si="5"/>
        <v>0</v>
      </c>
      <c r="X31" s="169">
        <f t="shared" si="18"/>
        <v>0</v>
      </c>
      <c r="Y31" s="169">
        <f t="shared" si="18"/>
        <v>0</v>
      </c>
      <c r="Z31" s="169">
        <f t="shared" si="18"/>
        <v>0</v>
      </c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10" customFormat="1" x14ac:dyDescent="0.2">
      <c r="A32" s="142"/>
      <c r="B32" s="172"/>
      <c r="C32" s="173" t="s">
        <v>77</v>
      </c>
      <c r="D32" s="175"/>
      <c r="E32" s="175"/>
      <c r="F32" s="175"/>
      <c r="G32" s="175"/>
      <c r="H32" s="175"/>
      <c r="I32" s="175"/>
      <c r="J32" s="175"/>
      <c r="K32" s="175"/>
      <c r="L32" s="176"/>
      <c r="M32" s="177"/>
      <c r="N32" s="178"/>
      <c r="O32" s="178"/>
      <c r="P32" s="178"/>
      <c r="Q32" s="178"/>
      <c r="R32" s="177"/>
      <c r="S32" s="178"/>
      <c r="T32" s="178"/>
      <c r="U32" s="178"/>
      <c r="V32" s="178"/>
      <c r="W32" s="177"/>
      <c r="X32" s="153"/>
      <c r="Y32" s="153"/>
      <c r="Z32" s="153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pans="1:36" s="10" customFormat="1" x14ac:dyDescent="0.2">
      <c r="A33" s="142"/>
      <c r="B33" s="172"/>
      <c r="C33" s="173" t="s">
        <v>78</v>
      </c>
      <c r="D33" s="175"/>
      <c r="E33" s="175"/>
      <c r="F33" s="175"/>
      <c r="G33" s="175"/>
      <c r="H33" s="175"/>
      <c r="I33" s="175"/>
      <c r="J33" s="175"/>
      <c r="K33" s="175"/>
      <c r="L33" s="176"/>
      <c r="M33" s="177"/>
      <c r="N33" s="178"/>
      <c r="O33" s="178"/>
      <c r="P33" s="178"/>
      <c r="Q33" s="178"/>
      <c r="R33" s="177"/>
      <c r="S33" s="178"/>
      <c r="T33" s="178"/>
      <c r="U33" s="178"/>
      <c r="V33" s="178"/>
      <c r="W33" s="177"/>
      <c r="X33" s="153"/>
      <c r="Y33" s="153"/>
      <c r="Z33" s="153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6" s="10" customFormat="1" x14ac:dyDescent="0.2">
      <c r="A34" s="134"/>
      <c r="B34" s="172"/>
      <c r="C34" s="173" t="s">
        <v>79</v>
      </c>
      <c r="D34" s="175"/>
      <c r="E34" s="175"/>
      <c r="F34" s="175"/>
      <c r="G34" s="175"/>
      <c r="H34" s="175"/>
      <c r="I34" s="175"/>
      <c r="J34" s="175"/>
      <c r="K34" s="175"/>
      <c r="L34" s="176"/>
      <c r="M34" s="177"/>
      <c r="N34" s="178"/>
      <c r="O34" s="178"/>
      <c r="P34" s="178"/>
      <c r="Q34" s="178"/>
      <c r="R34" s="177"/>
      <c r="S34" s="178"/>
      <c r="T34" s="178"/>
      <c r="U34" s="178"/>
      <c r="V34" s="178"/>
      <c r="W34" s="177"/>
      <c r="X34" s="153"/>
      <c r="Y34" s="153"/>
      <c r="Z34" s="153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 spans="1:36" s="10" customFormat="1" x14ac:dyDescent="0.2">
      <c r="A35" s="142"/>
      <c r="B35" s="172"/>
      <c r="C35" s="173" t="s">
        <v>80</v>
      </c>
      <c r="D35" s="175"/>
      <c r="E35" s="175"/>
      <c r="F35" s="175"/>
      <c r="G35" s="175"/>
      <c r="H35" s="175"/>
      <c r="I35" s="175"/>
      <c r="J35" s="175"/>
      <c r="K35" s="175"/>
      <c r="L35" s="176"/>
      <c r="M35" s="177"/>
      <c r="N35" s="178"/>
      <c r="O35" s="178"/>
      <c r="P35" s="178"/>
      <c r="Q35" s="178"/>
      <c r="R35" s="177"/>
      <c r="S35" s="178"/>
      <c r="T35" s="178"/>
      <c r="U35" s="178"/>
      <c r="V35" s="178"/>
      <c r="W35" s="177"/>
      <c r="X35" s="153"/>
      <c r="Y35" s="153"/>
      <c r="Z35" s="153"/>
      <c r="AA35" s="11"/>
      <c r="AB35" s="11"/>
      <c r="AC35" s="11"/>
      <c r="AD35" s="11"/>
      <c r="AE35" s="11"/>
      <c r="AF35" s="11"/>
      <c r="AG35" s="11"/>
      <c r="AH35" s="11"/>
      <c r="AI35" s="11"/>
      <c r="AJ35" s="11"/>
    </row>
    <row r="36" spans="1:36" s="10" customFormat="1" x14ac:dyDescent="0.2">
      <c r="A36" s="142"/>
      <c r="B36" s="172"/>
      <c r="C36" s="173" t="s">
        <v>81</v>
      </c>
      <c r="D36" s="175"/>
      <c r="E36" s="175"/>
      <c r="F36" s="175"/>
      <c r="G36" s="175"/>
      <c r="H36" s="175"/>
      <c r="I36" s="175"/>
      <c r="J36" s="175"/>
      <c r="K36" s="175"/>
      <c r="L36" s="176"/>
      <c r="M36" s="177"/>
      <c r="N36" s="178"/>
      <c r="O36" s="178"/>
      <c r="P36" s="178"/>
      <c r="Q36" s="178"/>
      <c r="R36" s="177"/>
      <c r="S36" s="178"/>
      <c r="T36" s="178"/>
      <c r="U36" s="178"/>
      <c r="V36" s="178"/>
      <c r="W36" s="177"/>
      <c r="X36" s="153"/>
      <c r="Y36" s="153"/>
      <c r="Z36" s="153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 spans="1:36" s="10" customFormat="1" x14ac:dyDescent="0.2">
      <c r="A37" s="134"/>
      <c r="B37" s="172"/>
      <c r="C37" s="173" t="s">
        <v>82</v>
      </c>
      <c r="D37" s="175"/>
      <c r="E37" s="175"/>
      <c r="F37" s="175"/>
      <c r="G37" s="175"/>
      <c r="H37" s="175"/>
      <c r="I37" s="175"/>
      <c r="J37" s="175"/>
      <c r="K37" s="175"/>
      <c r="L37" s="176"/>
      <c r="M37" s="177"/>
      <c r="N37" s="178"/>
      <c r="O37" s="178"/>
      <c r="P37" s="178"/>
      <c r="Q37" s="178"/>
      <c r="R37" s="177"/>
      <c r="S37" s="178"/>
      <c r="T37" s="178"/>
      <c r="U37" s="178"/>
      <c r="V37" s="178"/>
      <c r="W37" s="177"/>
      <c r="X37" s="153"/>
      <c r="Y37" s="153"/>
      <c r="Z37" s="153"/>
      <c r="AA37" s="11"/>
      <c r="AB37" s="11"/>
      <c r="AC37" s="11"/>
      <c r="AD37" s="11"/>
      <c r="AE37" s="11"/>
      <c r="AF37" s="11"/>
      <c r="AG37" s="11"/>
      <c r="AH37" s="11"/>
      <c r="AI37" s="11"/>
      <c r="AJ37" s="11"/>
    </row>
    <row r="38" spans="1:36" s="10" customFormat="1" x14ac:dyDescent="0.2">
      <c r="A38" s="142"/>
      <c r="B38" s="172"/>
      <c r="C38" s="173" t="s">
        <v>83</v>
      </c>
      <c r="D38" s="175"/>
      <c r="E38" s="175"/>
      <c r="F38" s="175"/>
      <c r="G38" s="175"/>
      <c r="H38" s="175"/>
      <c r="I38" s="175"/>
      <c r="J38" s="175"/>
      <c r="K38" s="175"/>
      <c r="L38" s="176"/>
      <c r="M38" s="177"/>
      <c r="N38" s="178"/>
      <c r="O38" s="178"/>
      <c r="P38" s="178"/>
      <c r="Q38" s="178"/>
      <c r="R38" s="177"/>
      <c r="S38" s="178"/>
      <c r="T38" s="178"/>
      <c r="U38" s="178"/>
      <c r="V38" s="178"/>
      <c r="W38" s="177"/>
      <c r="X38" s="153"/>
      <c r="Y38" s="153"/>
      <c r="Z38" s="153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 spans="1:36" s="10" customFormat="1" x14ac:dyDescent="0.2">
      <c r="A39" s="142"/>
      <c r="B39" s="172"/>
      <c r="C39" s="173" t="s">
        <v>84</v>
      </c>
      <c r="D39" s="175"/>
      <c r="E39" s="175"/>
      <c r="F39" s="175"/>
      <c r="G39" s="175"/>
      <c r="H39" s="175"/>
      <c r="I39" s="175"/>
      <c r="J39" s="175"/>
      <c r="K39" s="175"/>
      <c r="L39" s="176"/>
      <c r="M39" s="177"/>
      <c r="N39" s="178"/>
      <c r="O39" s="178"/>
      <c r="P39" s="178"/>
      <c r="Q39" s="178"/>
      <c r="R39" s="177"/>
      <c r="S39" s="178"/>
      <c r="T39" s="178"/>
      <c r="U39" s="178"/>
      <c r="V39" s="178"/>
      <c r="W39" s="177"/>
      <c r="X39" s="153"/>
      <c r="Y39" s="153"/>
      <c r="Z39" s="153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 spans="1:36" s="10" customFormat="1" x14ac:dyDescent="0.25">
      <c r="A40" s="142"/>
      <c r="B40" s="172"/>
      <c r="C40" s="173" t="s">
        <v>85</v>
      </c>
      <c r="D40" s="175"/>
      <c r="E40" s="175"/>
      <c r="F40" s="175"/>
      <c r="G40" s="175"/>
      <c r="H40" s="175"/>
      <c r="I40" s="175"/>
      <c r="J40" s="175"/>
      <c r="K40" s="175"/>
      <c r="L40" s="176"/>
      <c r="M40" s="177"/>
      <c r="N40" s="178"/>
      <c r="O40" s="178"/>
      <c r="P40" s="178"/>
      <c r="Q40" s="178"/>
      <c r="R40" s="177"/>
      <c r="S40" s="178"/>
      <c r="T40" s="178"/>
      <c r="U40" s="178"/>
      <c r="V40" s="178"/>
      <c r="W40" s="177"/>
      <c r="X40" s="153"/>
      <c r="Y40" s="153"/>
      <c r="Z40" s="153"/>
    </row>
    <row r="41" spans="1:36" s="10" customFormat="1" x14ac:dyDescent="0.25">
      <c r="A41" s="142"/>
      <c r="B41" s="172"/>
      <c r="C41" s="173" t="s">
        <v>86</v>
      </c>
      <c r="D41" s="175"/>
      <c r="E41" s="175"/>
      <c r="F41" s="175"/>
      <c r="G41" s="175"/>
      <c r="H41" s="175"/>
      <c r="I41" s="175"/>
      <c r="J41" s="175"/>
      <c r="K41" s="175"/>
      <c r="L41" s="176"/>
      <c r="M41" s="177"/>
      <c r="N41" s="178"/>
      <c r="O41" s="178"/>
      <c r="P41" s="178"/>
      <c r="Q41" s="178"/>
      <c r="R41" s="177"/>
      <c r="S41" s="178"/>
      <c r="T41" s="178"/>
      <c r="U41" s="178"/>
      <c r="V41" s="178"/>
      <c r="W41" s="177"/>
      <c r="X41" s="153"/>
      <c r="Y41" s="153"/>
      <c r="Z41" s="153"/>
    </row>
    <row r="42" spans="1:36" s="10" customFormat="1" ht="36" x14ac:dyDescent="0.25">
      <c r="A42" s="134"/>
      <c r="B42" s="172"/>
      <c r="C42" s="173" t="s">
        <v>87</v>
      </c>
      <c r="D42" s="175"/>
      <c r="E42" s="175"/>
      <c r="F42" s="175"/>
      <c r="G42" s="175"/>
      <c r="H42" s="175"/>
      <c r="I42" s="175"/>
      <c r="J42" s="175"/>
      <c r="K42" s="175"/>
      <c r="L42" s="176"/>
      <c r="M42" s="177"/>
      <c r="N42" s="178"/>
      <c r="O42" s="178"/>
      <c r="P42" s="178"/>
      <c r="Q42" s="178"/>
      <c r="R42" s="177"/>
      <c r="S42" s="178"/>
      <c r="T42" s="178"/>
      <c r="U42" s="178"/>
      <c r="V42" s="178"/>
      <c r="W42" s="177"/>
      <c r="X42" s="153"/>
      <c r="Y42" s="153"/>
      <c r="Z42" s="153"/>
    </row>
    <row r="43" spans="1:36" s="10" customFormat="1" ht="36" x14ac:dyDescent="0.25">
      <c r="A43" s="134"/>
      <c r="B43" s="170"/>
      <c r="C43" s="171" t="s">
        <v>88</v>
      </c>
      <c r="D43" s="167">
        <f t="shared" ref="D43:H43" si="19">SUM(D44:D46)</f>
        <v>0</v>
      </c>
      <c r="E43" s="167">
        <f t="shared" si="19"/>
        <v>0</v>
      </c>
      <c r="F43" s="167">
        <f t="shared" si="19"/>
        <v>0</v>
      </c>
      <c r="G43" s="167">
        <f t="shared" si="19"/>
        <v>0</v>
      </c>
      <c r="H43" s="167">
        <f t="shared" si="19"/>
        <v>0</v>
      </c>
      <c r="I43" s="167">
        <f t="shared" ref="I43:Z43" si="20">SUM(I44:I46)</f>
        <v>0</v>
      </c>
      <c r="J43" s="167">
        <f t="shared" si="20"/>
        <v>0</v>
      </c>
      <c r="K43" s="167">
        <f t="shared" si="20"/>
        <v>0</v>
      </c>
      <c r="L43" s="168">
        <f t="shared" si="20"/>
        <v>0</v>
      </c>
      <c r="M43" s="169">
        <f t="shared" si="3"/>
        <v>0</v>
      </c>
      <c r="N43" s="169">
        <f t="shared" si="20"/>
        <v>0</v>
      </c>
      <c r="O43" s="169">
        <f t="shared" si="20"/>
        <v>0</v>
      </c>
      <c r="P43" s="169">
        <f t="shared" si="20"/>
        <v>0</v>
      </c>
      <c r="Q43" s="169">
        <f t="shared" si="20"/>
        <v>0</v>
      </c>
      <c r="R43" s="169">
        <f t="shared" si="4"/>
        <v>0</v>
      </c>
      <c r="S43" s="169">
        <f t="shared" si="20"/>
        <v>0</v>
      </c>
      <c r="T43" s="169">
        <f t="shared" si="20"/>
        <v>0</v>
      </c>
      <c r="U43" s="169">
        <f t="shared" si="20"/>
        <v>0</v>
      </c>
      <c r="V43" s="169">
        <f t="shared" si="20"/>
        <v>0</v>
      </c>
      <c r="W43" s="169">
        <f t="shared" si="5"/>
        <v>0</v>
      </c>
      <c r="X43" s="169">
        <f t="shared" si="20"/>
        <v>0</v>
      </c>
      <c r="Y43" s="169">
        <f t="shared" si="20"/>
        <v>0</v>
      </c>
      <c r="Z43" s="169">
        <f t="shared" si="20"/>
        <v>0</v>
      </c>
    </row>
    <row r="44" spans="1:36" s="10" customFormat="1" x14ac:dyDescent="0.25">
      <c r="A44" s="142"/>
      <c r="B44" s="172"/>
      <c r="C44" s="173" t="s">
        <v>89</v>
      </c>
      <c r="D44" s="175"/>
      <c r="E44" s="175"/>
      <c r="F44" s="175"/>
      <c r="G44" s="175"/>
      <c r="H44" s="175"/>
      <c r="I44" s="175"/>
      <c r="J44" s="175"/>
      <c r="K44" s="175"/>
      <c r="L44" s="176"/>
      <c r="M44" s="177"/>
      <c r="N44" s="178"/>
      <c r="O44" s="178"/>
      <c r="P44" s="178"/>
      <c r="Q44" s="178"/>
      <c r="R44" s="177"/>
      <c r="S44" s="178"/>
      <c r="T44" s="178"/>
      <c r="U44" s="178"/>
      <c r="V44" s="178"/>
      <c r="W44" s="177"/>
      <c r="X44" s="153"/>
      <c r="Y44" s="153"/>
      <c r="Z44" s="153"/>
    </row>
    <row r="45" spans="1:36" s="10" customFormat="1" x14ac:dyDescent="0.25">
      <c r="A45" s="142"/>
      <c r="B45" s="172"/>
      <c r="C45" s="173" t="s">
        <v>90</v>
      </c>
      <c r="D45" s="175"/>
      <c r="E45" s="175"/>
      <c r="F45" s="175"/>
      <c r="G45" s="175"/>
      <c r="H45" s="175"/>
      <c r="I45" s="175"/>
      <c r="J45" s="175"/>
      <c r="K45" s="175"/>
      <c r="L45" s="176"/>
      <c r="M45" s="177"/>
      <c r="N45" s="178"/>
      <c r="O45" s="178"/>
      <c r="P45" s="178"/>
      <c r="Q45" s="178"/>
      <c r="R45" s="177"/>
      <c r="S45" s="178"/>
      <c r="T45" s="178"/>
      <c r="U45" s="178"/>
      <c r="V45" s="178"/>
      <c r="W45" s="177"/>
      <c r="X45" s="153"/>
      <c r="Y45" s="153"/>
      <c r="Z45" s="153"/>
    </row>
    <row r="46" spans="1:36" s="10" customFormat="1" ht="36" x14ac:dyDescent="0.25">
      <c r="A46" s="134"/>
      <c r="B46" s="172"/>
      <c r="C46" s="173" t="s">
        <v>91</v>
      </c>
      <c r="D46" s="175"/>
      <c r="E46" s="175"/>
      <c r="F46" s="175"/>
      <c r="G46" s="175"/>
      <c r="H46" s="175"/>
      <c r="I46" s="175"/>
      <c r="J46" s="175"/>
      <c r="K46" s="175"/>
      <c r="L46" s="176"/>
      <c r="M46" s="177"/>
      <c r="N46" s="178"/>
      <c r="O46" s="178"/>
      <c r="P46" s="178"/>
      <c r="Q46" s="178"/>
      <c r="R46" s="177"/>
      <c r="S46" s="178"/>
      <c r="T46" s="178"/>
      <c r="U46" s="178"/>
      <c r="V46" s="178"/>
      <c r="W46" s="177"/>
      <c r="X46" s="153"/>
      <c r="Y46" s="153"/>
      <c r="Z46" s="153"/>
    </row>
    <row r="47" spans="1:36" s="10" customFormat="1" ht="36" x14ac:dyDescent="0.25">
      <c r="A47" s="134"/>
      <c r="B47" s="179"/>
      <c r="C47" s="171" t="s">
        <v>92</v>
      </c>
      <c r="D47" s="175"/>
      <c r="E47" s="175"/>
      <c r="F47" s="175"/>
      <c r="G47" s="175"/>
      <c r="H47" s="175"/>
      <c r="I47" s="175"/>
      <c r="J47" s="175"/>
      <c r="K47" s="175"/>
      <c r="L47" s="176"/>
      <c r="M47" s="177"/>
      <c r="N47" s="178"/>
      <c r="O47" s="178"/>
      <c r="P47" s="178"/>
      <c r="Q47" s="178"/>
      <c r="R47" s="177"/>
      <c r="S47" s="178"/>
      <c r="T47" s="178"/>
      <c r="U47" s="178"/>
      <c r="V47" s="178"/>
      <c r="W47" s="177"/>
      <c r="X47" s="153"/>
      <c r="Y47" s="153"/>
      <c r="Z47" s="153"/>
    </row>
    <row r="48" spans="1:36" s="10" customFormat="1" ht="36" x14ac:dyDescent="0.25">
      <c r="A48" s="142"/>
      <c r="B48" s="179"/>
      <c r="C48" s="171" t="s">
        <v>93</v>
      </c>
      <c r="D48" s="175"/>
      <c r="E48" s="175"/>
      <c r="F48" s="175"/>
      <c r="G48" s="175"/>
      <c r="H48" s="175"/>
      <c r="I48" s="175"/>
      <c r="J48" s="175"/>
      <c r="K48" s="175"/>
      <c r="L48" s="176"/>
      <c r="M48" s="177"/>
      <c r="N48" s="178"/>
      <c r="O48" s="178"/>
      <c r="P48" s="178"/>
      <c r="Q48" s="178"/>
      <c r="R48" s="177"/>
      <c r="S48" s="178"/>
      <c r="T48" s="178"/>
      <c r="U48" s="178"/>
      <c r="V48" s="178"/>
      <c r="W48" s="177"/>
      <c r="X48" s="153"/>
      <c r="Y48" s="153"/>
      <c r="Z48" s="153"/>
    </row>
    <row r="49" spans="1:26" s="10" customFormat="1" ht="36" x14ac:dyDescent="0.25">
      <c r="A49" s="134"/>
      <c r="B49" s="179"/>
      <c r="C49" s="171" t="s">
        <v>94</v>
      </c>
      <c r="D49" s="175"/>
      <c r="E49" s="175"/>
      <c r="F49" s="175"/>
      <c r="G49" s="175"/>
      <c r="H49" s="175"/>
      <c r="I49" s="175"/>
      <c r="J49" s="175"/>
      <c r="K49" s="175"/>
      <c r="L49" s="176"/>
      <c r="M49" s="177"/>
      <c r="N49" s="178"/>
      <c r="O49" s="178"/>
      <c r="P49" s="178"/>
      <c r="Q49" s="178"/>
      <c r="R49" s="177"/>
      <c r="S49" s="178"/>
      <c r="T49" s="178"/>
      <c r="U49" s="178"/>
      <c r="V49" s="178"/>
      <c r="W49" s="177"/>
      <c r="X49" s="153"/>
      <c r="Y49" s="153"/>
      <c r="Z49" s="153"/>
    </row>
    <row r="50" spans="1:26" s="10" customFormat="1" ht="56.25" customHeight="1" x14ac:dyDescent="0.25">
      <c r="A50" s="134"/>
      <c r="B50" s="179"/>
      <c r="C50" s="171" t="s">
        <v>95</v>
      </c>
      <c r="D50" s="175"/>
      <c r="E50" s="175"/>
      <c r="F50" s="175"/>
      <c r="G50" s="175"/>
      <c r="H50" s="175"/>
      <c r="I50" s="175"/>
      <c r="J50" s="175"/>
      <c r="K50" s="175"/>
      <c r="L50" s="176"/>
      <c r="M50" s="177"/>
      <c r="N50" s="178"/>
      <c r="O50" s="178"/>
      <c r="P50" s="178"/>
      <c r="Q50" s="178"/>
      <c r="R50" s="177"/>
      <c r="S50" s="178"/>
      <c r="T50" s="178"/>
      <c r="U50" s="178"/>
      <c r="V50" s="178"/>
      <c r="W50" s="177"/>
      <c r="X50" s="153"/>
      <c r="Y50" s="153"/>
      <c r="Z50" s="153"/>
    </row>
    <row r="51" spans="1:26" s="10" customFormat="1" x14ac:dyDescent="0.25">
      <c r="A51" s="134"/>
      <c r="B51" s="179"/>
      <c r="C51" s="171" t="s">
        <v>96</v>
      </c>
      <c r="D51" s="175"/>
      <c r="E51" s="175"/>
      <c r="F51" s="175"/>
      <c r="G51" s="175"/>
      <c r="H51" s="175"/>
      <c r="I51" s="175"/>
      <c r="J51" s="175"/>
      <c r="K51" s="175"/>
      <c r="L51" s="176"/>
      <c r="M51" s="177"/>
      <c r="N51" s="178"/>
      <c r="O51" s="178"/>
      <c r="P51" s="178"/>
      <c r="Q51" s="178"/>
      <c r="R51" s="177"/>
      <c r="S51" s="178"/>
      <c r="T51" s="178"/>
      <c r="U51" s="178"/>
      <c r="V51" s="178"/>
      <c r="W51" s="177"/>
      <c r="X51" s="153"/>
      <c r="Y51" s="153"/>
      <c r="Z51" s="153"/>
    </row>
    <row r="52" spans="1:26" s="10" customFormat="1" x14ac:dyDescent="0.25">
      <c r="A52" s="134"/>
      <c r="B52" s="179"/>
      <c r="C52" s="171" t="s">
        <v>97</v>
      </c>
      <c r="D52" s="175"/>
      <c r="E52" s="175"/>
      <c r="F52" s="175"/>
      <c r="G52" s="175"/>
      <c r="H52" s="175"/>
      <c r="I52" s="175"/>
      <c r="J52" s="175"/>
      <c r="K52" s="175"/>
      <c r="L52" s="176"/>
      <c r="M52" s="177"/>
      <c r="N52" s="178"/>
      <c r="O52" s="178"/>
      <c r="P52" s="178"/>
      <c r="Q52" s="178"/>
      <c r="R52" s="177"/>
      <c r="S52" s="178"/>
      <c r="T52" s="178"/>
      <c r="U52" s="178"/>
      <c r="V52" s="178"/>
      <c r="W52" s="177"/>
      <c r="X52" s="153"/>
      <c r="Y52" s="153"/>
      <c r="Z52" s="153"/>
    </row>
    <row r="53" spans="1:26" s="10" customFormat="1" x14ac:dyDescent="0.25">
      <c r="A53" s="134"/>
      <c r="B53" s="170"/>
      <c r="C53" s="171" t="s">
        <v>98</v>
      </c>
      <c r="D53" s="167">
        <f t="shared" ref="D53:H53" si="21">SUM(D54:D60)</f>
        <v>0</v>
      </c>
      <c r="E53" s="167">
        <f t="shared" si="21"/>
        <v>0</v>
      </c>
      <c r="F53" s="167">
        <f t="shared" si="21"/>
        <v>0</v>
      </c>
      <c r="G53" s="167">
        <f t="shared" si="21"/>
        <v>0</v>
      </c>
      <c r="H53" s="167">
        <f t="shared" si="21"/>
        <v>0</v>
      </c>
      <c r="I53" s="167">
        <f t="shared" ref="I53:Z53" si="22">SUM(I54:I60)</f>
        <v>0</v>
      </c>
      <c r="J53" s="167">
        <f t="shared" si="22"/>
        <v>0</v>
      </c>
      <c r="K53" s="167">
        <f t="shared" si="22"/>
        <v>0</v>
      </c>
      <c r="L53" s="168">
        <f t="shared" si="22"/>
        <v>0</v>
      </c>
      <c r="M53" s="169">
        <f t="shared" si="3"/>
        <v>0</v>
      </c>
      <c r="N53" s="169">
        <f t="shared" si="22"/>
        <v>0</v>
      </c>
      <c r="O53" s="169">
        <f t="shared" si="22"/>
        <v>0</v>
      </c>
      <c r="P53" s="169">
        <f t="shared" si="22"/>
        <v>0</v>
      </c>
      <c r="Q53" s="169">
        <f t="shared" si="22"/>
        <v>0</v>
      </c>
      <c r="R53" s="169">
        <f t="shared" si="4"/>
        <v>0</v>
      </c>
      <c r="S53" s="169">
        <f t="shared" si="22"/>
        <v>0</v>
      </c>
      <c r="T53" s="169">
        <f t="shared" si="22"/>
        <v>0</v>
      </c>
      <c r="U53" s="169">
        <f t="shared" si="22"/>
        <v>0</v>
      </c>
      <c r="V53" s="169">
        <f t="shared" si="22"/>
        <v>0</v>
      </c>
      <c r="W53" s="169">
        <f t="shared" si="5"/>
        <v>0</v>
      </c>
      <c r="X53" s="169">
        <f t="shared" si="22"/>
        <v>0</v>
      </c>
      <c r="Y53" s="169">
        <f t="shared" si="22"/>
        <v>0</v>
      </c>
      <c r="Z53" s="169">
        <f t="shared" si="22"/>
        <v>0</v>
      </c>
    </row>
    <row r="54" spans="1:26" s="10" customFormat="1" x14ac:dyDescent="0.25">
      <c r="A54" s="134">
        <v>104.52</v>
      </c>
      <c r="B54" s="172"/>
      <c r="C54" s="173" t="s">
        <v>99</v>
      </c>
      <c r="D54" s="175"/>
      <c r="E54" s="175"/>
      <c r="F54" s="175"/>
      <c r="G54" s="175"/>
      <c r="H54" s="175"/>
      <c r="I54" s="175"/>
      <c r="J54" s="175"/>
      <c r="K54" s="175"/>
      <c r="L54" s="176"/>
      <c r="M54" s="177"/>
      <c r="N54" s="178"/>
      <c r="O54" s="178"/>
      <c r="P54" s="178"/>
      <c r="Q54" s="178"/>
      <c r="R54" s="177"/>
      <c r="S54" s="178"/>
      <c r="T54" s="178"/>
      <c r="U54" s="178"/>
      <c r="V54" s="178"/>
      <c r="W54" s="177"/>
      <c r="X54" s="153"/>
      <c r="Y54" s="153"/>
      <c r="Z54" s="153"/>
    </row>
    <row r="55" spans="1:26" s="10" customFormat="1" x14ac:dyDescent="0.25">
      <c r="A55" s="134"/>
      <c r="B55" s="172"/>
      <c r="C55" s="173" t="s">
        <v>100</v>
      </c>
      <c r="D55" s="175"/>
      <c r="E55" s="175"/>
      <c r="F55" s="175"/>
      <c r="G55" s="175"/>
      <c r="H55" s="175"/>
      <c r="I55" s="175"/>
      <c r="J55" s="175"/>
      <c r="K55" s="175"/>
      <c r="L55" s="176"/>
      <c r="M55" s="177"/>
      <c r="N55" s="178"/>
      <c r="O55" s="178"/>
      <c r="P55" s="178"/>
      <c r="Q55" s="178"/>
      <c r="R55" s="177"/>
      <c r="S55" s="178"/>
      <c r="T55" s="178"/>
      <c r="U55" s="178"/>
      <c r="V55" s="178"/>
      <c r="W55" s="177"/>
      <c r="X55" s="153"/>
      <c r="Y55" s="153"/>
      <c r="Z55" s="153"/>
    </row>
    <row r="56" spans="1:26" s="10" customFormat="1" x14ac:dyDescent="0.25">
      <c r="A56" s="134"/>
      <c r="B56" s="172"/>
      <c r="C56" s="173" t="s">
        <v>101</v>
      </c>
      <c r="D56" s="175"/>
      <c r="E56" s="175"/>
      <c r="F56" s="175"/>
      <c r="G56" s="175"/>
      <c r="H56" s="175"/>
      <c r="I56" s="175"/>
      <c r="J56" s="175"/>
      <c r="K56" s="175"/>
      <c r="L56" s="176"/>
      <c r="M56" s="177"/>
      <c r="N56" s="178"/>
      <c r="O56" s="178"/>
      <c r="P56" s="178"/>
      <c r="Q56" s="178"/>
      <c r="R56" s="177"/>
      <c r="S56" s="178"/>
      <c r="T56" s="178"/>
      <c r="U56" s="178"/>
      <c r="V56" s="178"/>
      <c r="W56" s="177"/>
      <c r="X56" s="153"/>
      <c r="Y56" s="153"/>
      <c r="Z56" s="153"/>
    </row>
    <row r="57" spans="1:26" s="10" customFormat="1" x14ac:dyDescent="0.25">
      <c r="A57" s="142"/>
      <c r="B57" s="172"/>
      <c r="C57" s="173" t="s">
        <v>102</v>
      </c>
      <c r="D57" s="175"/>
      <c r="E57" s="175"/>
      <c r="F57" s="175"/>
      <c r="G57" s="175"/>
      <c r="H57" s="175"/>
      <c r="I57" s="175"/>
      <c r="J57" s="175"/>
      <c r="K57" s="175"/>
      <c r="L57" s="176"/>
      <c r="M57" s="177"/>
      <c r="N57" s="178"/>
      <c r="O57" s="178"/>
      <c r="P57" s="178"/>
      <c r="Q57" s="178"/>
      <c r="R57" s="177"/>
      <c r="S57" s="178"/>
      <c r="T57" s="178"/>
      <c r="U57" s="178"/>
      <c r="V57" s="178"/>
      <c r="W57" s="177"/>
      <c r="X57" s="153"/>
      <c r="Y57" s="153"/>
      <c r="Z57" s="153"/>
    </row>
    <row r="58" spans="1:26" s="10" customFormat="1" ht="54" x14ac:dyDescent="0.25">
      <c r="A58" s="142"/>
      <c r="B58" s="172"/>
      <c r="C58" s="173" t="s">
        <v>103</v>
      </c>
      <c r="D58" s="175"/>
      <c r="E58" s="175"/>
      <c r="F58" s="175"/>
      <c r="G58" s="175"/>
      <c r="H58" s="175"/>
      <c r="I58" s="175"/>
      <c r="J58" s="175"/>
      <c r="K58" s="175"/>
      <c r="L58" s="176"/>
      <c r="M58" s="177"/>
      <c r="N58" s="178"/>
      <c r="O58" s="178"/>
      <c r="P58" s="178"/>
      <c r="Q58" s="178"/>
      <c r="R58" s="177"/>
      <c r="S58" s="178"/>
      <c r="T58" s="178"/>
      <c r="U58" s="178"/>
      <c r="V58" s="178"/>
      <c r="W58" s="177"/>
      <c r="X58" s="153"/>
      <c r="Y58" s="153"/>
      <c r="Z58" s="153"/>
    </row>
    <row r="59" spans="1:26" s="10" customFormat="1" ht="36" x14ac:dyDescent="0.25">
      <c r="A59" s="134"/>
      <c r="B59" s="172"/>
      <c r="C59" s="173" t="s">
        <v>104</v>
      </c>
      <c r="D59" s="175"/>
      <c r="E59" s="175"/>
      <c r="F59" s="175"/>
      <c r="G59" s="175"/>
      <c r="H59" s="175"/>
      <c r="I59" s="175"/>
      <c r="J59" s="175"/>
      <c r="K59" s="175"/>
      <c r="L59" s="176"/>
      <c r="M59" s="177"/>
      <c r="N59" s="178"/>
      <c r="O59" s="178"/>
      <c r="P59" s="178"/>
      <c r="Q59" s="178"/>
      <c r="R59" s="177"/>
      <c r="S59" s="178"/>
      <c r="T59" s="178"/>
      <c r="U59" s="178"/>
      <c r="V59" s="178"/>
      <c r="W59" s="177"/>
      <c r="X59" s="153"/>
      <c r="Y59" s="153"/>
      <c r="Z59" s="153"/>
    </row>
    <row r="60" spans="1:26" s="10" customFormat="1" ht="36" x14ac:dyDescent="0.25">
      <c r="A60" s="142"/>
      <c r="B60" s="172"/>
      <c r="C60" s="173" t="s">
        <v>105</v>
      </c>
      <c r="D60" s="175"/>
      <c r="E60" s="175"/>
      <c r="F60" s="175"/>
      <c r="G60" s="175"/>
      <c r="H60" s="175"/>
      <c r="I60" s="175"/>
      <c r="J60" s="175"/>
      <c r="K60" s="175"/>
      <c r="L60" s="176"/>
      <c r="M60" s="177"/>
      <c r="N60" s="178"/>
      <c r="O60" s="178"/>
      <c r="P60" s="178"/>
      <c r="Q60" s="178"/>
      <c r="R60" s="177"/>
      <c r="S60" s="178"/>
      <c r="T60" s="178"/>
      <c r="U60" s="178"/>
      <c r="V60" s="178"/>
      <c r="W60" s="177"/>
      <c r="X60" s="153"/>
      <c r="Y60" s="153"/>
      <c r="Z60" s="153"/>
    </row>
    <row r="61" spans="1:26" s="10" customFormat="1" ht="41.25" customHeight="1" x14ac:dyDescent="0.25">
      <c r="A61" s="142"/>
      <c r="B61" s="179"/>
      <c r="C61" s="171" t="s">
        <v>106</v>
      </c>
      <c r="D61" s="175"/>
      <c r="E61" s="175"/>
      <c r="F61" s="175"/>
      <c r="G61" s="175"/>
      <c r="H61" s="175"/>
      <c r="I61" s="175"/>
      <c r="J61" s="175"/>
      <c r="K61" s="175"/>
      <c r="L61" s="176"/>
      <c r="M61" s="177"/>
      <c r="N61" s="178"/>
      <c r="O61" s="178"/>
      <c r="P61" s="178"/>
      <c r="Q61" s="178"/>
      <c r="R61" s="177"/>
      <c r="S61" s="178"/>
      <c r="T61" s="178"/>
      <c r="U61" s="178"/>
      <c r="V61" s="178"/>
      <c r="W61" s="177"/>
      <c r="X61" s="153"/>
      <c r="Y61" s="153"/>
      <c r="Z61" s="153"/>
    </row>
    <row r="62" spans="1:26" s="10" customFormat="1" ht="36" x14ac:dyDescent="0.25">
      <c r="A62" s="142"/>
      <c r="B62" s="179"/>
      <c r="C62" s="171" t="s">
        <v>107</v>
      </c>
      <c r="D62" s="175"/>
      <c r="E62" s="175"/>
      <c r="F62" s="175"/>
      <c r="G62" s="175"/>
      <c r="H62" s="175"/>
      <c r="I62" s="175"/>
      <c r="J62" s="175"/>
      <c r="K62" s="175"/>
      <c r="L62" s="176"/>
      <c r="M62" s="177"/>
      <c r="N62" s="178"/>
      <c r="O62" s="178"/>
      <c r="P62" s="178"/>
      <c r="Q62" s="178"/>
      <c r="R62" s="177"/>
      <c r="S62" s="178"/>
      <c r="T62" s="178"/>
      <c r="U62" s="178"/>
      <c r="V62" s="178"/>
      <c r="W62" s="177"/>
      <c r="X62" s="153"/>
      <c r="Y62" s="153"/>
      <c r="Z62" s="153"/>
    </row>
    <row r="63" spans="1:26" s="10" customFormat="1" x14ac:dyDescent="0.25">
      <c r="A63" s="134"/>
      <c r="B63" s="180"/>
      <c r="C63" s="165" t="s">
        <v>108</v>
      </c>
      <c r="D63" s="175"/>
      <c r="E63" s="175"/>
      <c r="F63" s="175"/>
      <c r="G63" s="175"/>
      <c r="H63" s="175"/>
      <c r="I63" s="175"/>
      <c r="J63" s="175"/>
      <c r="K63" s="175"/>
      <c r="L63" s="176"/>
      <c r="M63" s="177"/>
      <c r="N63" s="178"/>
      <c r="O63" s="178"/>
      <c r="P63" s="178"/>
      <c r="Q63" s="178"/>
      <c r="R63" s="177"/>
      <c r="S63" s="178"/>
      <c r="T63" s="178"/>
      <c r="U63" s="178"/>
      <c r="V63" s="178"/>
      <c r="W63" s="177"/>
      <c r="X63" s="153"/>
      <c r="Y63" s="153"/>
      <c r="Z63" s="153"/>
    </row>
    <row r="64" spans="1:26" s="10" customFormat="1" x14ac:dyDescent="0.25">
      <c r="A64" s="142"/>
      <c r="B64" s="180"/>
      <c r="C64" s="165" t="s">
        <v>109</v>
      </c>
      <c r="D64" s="175"/>
      <c r="E64" s="175"/>
      <c r="F64" s="175"/>
      <c r="G64" s="175"/>
      <c r="H64" s="175"/>
      <c r="I64" s="175"/>
      <c r="J64" s="175"/>
      <c r="K64" s="175"/>
      <c r="L64" s="176"/>
      <c r="M64" s="177"/>
      <c r="N64" s="178"/>
      <c r="O64" s="178"/>
      <c r="P64" s="178"/>
      <c r="Q64" s="178"/>
      <c r="R64" s="177"/>
      <c r="S64" s="178"/>
      <c r="T64" s="178"/>
      <c r="U64" s="178"/>
      <c r="V64" s="178"/>
      <c r="W64" s="177"/>
      <c r="X64" s="153"/>
      <c r="Y64" s="153"/>
      <c r="Z64" s="153"/>
    </row>
    <row r="65" spans="1:26" s="10" customFormat="1" x14ac:dyDescent="0.25">
      <c r="A65" s="134"/>
      <c r="B65" s="180"/>
      <c r="C65" s="165" t="s">
        <v>110</v>
      </c>
      <c r="D65" s="175"/>
      <c r="E65" s="175"/>
      <c r="F65" s="175"/>
      <c r="G65" s="175"/>
      <c r="H65" s="175"/>
      <c r="I65" s="175"/>
      <c r="J65" s="175"/>
      <c r="K65" s="175"/>
      <c r="L65" s="176"/>
      <c r="M65" s="177"/>
      <c r="N65" s="178"/>
      <c r="O65" s="178"/>
      <c r="P65" s="178"/>
      <c r="Q65" s="178"/>
      <c r="R65" s="177"/>
      <c r="S65" s="178"/>
      <c r="T65" s="178"/>
      <c r="U65" s="178"/>
      <c r="V65" s="178"/>
      <c r="W65" s="177"/>
      <c r="X65" s="153"/>
      <c r="Y65" s="153"/>
      <c r="Z65" s="153"/>
    </row>
    <row r="66" spans="1:26" s="10" customFormat="1" ht="36" x14ac:dyDescent="0.25">
      <c r="A66" s="142"/>
      <c r="B66" s="180"/>
      <c r="C66" s="165" t="s">
        <v>111</v>
      </c>
      <c r="D66" s="175"/>
      <c r="E66" s="175"/>
      <c r="F66" s="175"/>
      <c r="G66" s="175"/>
      <c r="H66" s="175"/>
      <c r="I66" s="175"/>
      <c r="J66" s="175"/>
      <c r="K66" s="175"/>
      <c r="L66" s="176"/>
      <c r="M66" s="177"/>
      <c r="N66" s="178"/>
      <c r="O66" s="178"/>
      <c r="P66" s="178"/>
      <c r="Q66" s="178"/>
      <c r="R66" s="177"/>
      <c r="S66" s="178"/>
      <c r="T66" s="178"/>
      <c r="U66" s="178"/>
      <c r="V66" s="178"/>
      <c r="W66" s="177"/>
      <c r="X66" s="153"/>
      <c r="Y66" s="153"/>
      <c r="Z66" s="153"/>
    </row>
    <row r="67" spans="1:26" s="10" customFormat="1" ht="36" x14ac:dyDescent="0.25">
      <c r="A67" s="134"/>
      <c r="B67" s="180"/>
      <c r="C67" s="165" t="s">
        <v>112</v>
      </c>
      <c r="D67" s="175"/>
      <c r="E67" s="175"/>
      <c r="F67" s="175"/>
      <c r="G67" s="175"/>
      <c r="H67" s="175"/>
      <c r="I67" s="175"/>
      <c r="J67" s="175"/>
      <c r="K67" s="175"/>
      <c r="L67" s="176"/>
      <c r="M67" s="177"/>
      <c r="N67" s="178"/>
      <c r="O67" s="178"/>
      <c r="P67" s="178"/>
      <c r="Q67" s="178"/>
      <c r="R67" s="177"/>
      <c r="S67" s="178"/>
      <c r="T67" s="178"/>
      <c r="U67" s="178"/>
      <c r="V67" s="178"/>
      <c r="W67" s="177"/>
      <c r="X67" s="153"/>
      <c r="Y67" s="153"/>
      <c r="Z67" s="153"/>
    </row>
    <row r="68" spans="1:26" s="10" customFormat="1" x14ac:dyDescent="0.25">
      <c r="A68" s="134"/>
      <c r="B68" s="179"/>
      <c r="C68" s="171" t="s">
        <v>113</v>
      </c>
      <c r="D68" s="175"/>
      <c r="E68" s="175"/>
      <c r="F68" s="175"/>
      <c r="G68" s="175"/>
      <c r="H68" s="175"/>
      <c r="I68" s="175"/>
      <c r="J68" s="175"/>
      <c r="K68" s="175"/>
      <c r="L68" s="176"/>
      <c r="M68" s="177"/>
      <c r="N68" s="178"/>
      <c r="O68" s="178"/>
      <c r="P68" s="178"/>
      <c r="Q68" s="178"/>
      <c r="R68" s="177"/>
      <c r="S68" s="178"/>
      <c r="T68" s="178"/>
      <c r="U68" s="178"/>
      <c r="V68" s="178"/>
      <c r="W68" s="177"/>
      <c r="X68" s="153"/>
      <c r="Y68" s="153"/>
      <c r="Z68" s="153"/>
    </row>
    <row r="69" spans="1:26" s="10" customFormat="1" x14ac:dyDescent="0.25">
      <c r="A69" s="134"/>
      <c r="B69" s="179"/>
      <c r="C69" s="171" t="s">
        <v>114</v>
      </c>
      <c r="D69" s="175"/>
      <c r="E69" s="175"/>
      <c r="F69" s="175"/>
      <c r="G69" s="175"/>
      <c r="H69" s="175"/>
      <c r="I69" s="175"/>
      <c r="J69" s="175"/>
      <c r="K69" s="175"/>
      <c r="L69" s="176"/>
      <c r="M69" s="177"/>
      <c r="N69" s="178"/>
      <c r="O69" s="178"/>
      <c r="P69" s="178"/>
      <c r="Q69" s="178"/>
      <c r="R69" s="177"/>
      <c r="S69" s="178"/>
      <c r="T69" s="178"/>
      <c r="U69" s="178"/>
      <c r="V69" s="178"/>
      <c r="W69" s="177"/>
      <c r="X69" s="153"/>
      <c r="Y69" s="153"/>
      <c r="Z69" s="153"/>
    </row>
    <row r="70" spans="1:26" s="10" customFormat="1" ht="36" x14ac:dyDescent="0.25">
      <c r="A70" s="134"/>
      <c r="B70" s="179"/>
      <c r="C70" s="171" t="s">
        <v>115</v>
      </c>
      <c r="D70" s="175"/>
      <c r="E70" s="175"/>
      <c r="F70" s="175"/>
      <c r="G70" s="175"/>
      <c r="H70" s="175"/>
      <c r="I70" s="175"/>
      <c r="J70" s="175"/>
      <c r="K70" s="175"/>
      <c r="L70" s="176"/>
      <c r="M70" s="177"/>
      <c r="N70" s="178"/>
      <c r="O70" s="178"/>
      <c r="P70" s="178"/>
      <c r="Q70" s="178"/>
      <c r="R70" s="177"/>
      <c r="S70" s="178"/>
      <c r="T70" s="178"/>
      <c r="U70" s="178"/>
      <c r="V70" s="178"/>
      <c r="W70" s="177"/>
      <c r="X70" s="153"/>
      <c r="Y70" s="153"/>
      <c r="Z70" s="153"/>
    </row>
    <row r="71" spans="1:26" s="10" customFormat="1" ht="36" x14ac:dyDescent="0.25">
      <c r="A71" s="134"/>
      <c r="B71" s="179"/>
      <c r="C71" s="171" t="s">
        <v>116</v>
      </c>
      <c r="D71" s="175"/>
      <c r="E71" s="175"/>
      <c r="F71" s="175"/>
      <c r="G71" s="175"/>
      <c r="H71" s="175"/>
      <c r="I71" s="175"/>
      <c r="J71" s="175"/>
      <c r="K71" s="175"/>
      <c r="L71" s="176"/>
      <c r="M71" s="177"/>
      <c r="N71" s="178"/>
      <c r="O71" s="178"/>
      <c r="P71" s="178"/>
      <c r="Q71" s="178"/>
      <c r="R71" s="177"/>
      <c r="S71" s="178"/>
      <c r="T71" s="178"/>
      <c r="U71" s="178"/>
      <c r="V71" s="178"/>
      <c r="W71" s="177"/>
      <c r="X71" s="153"/>
      <c r="Y71" s="153"/>
      <c r="Z71" s="153"/>
    </row>
    <row r="72" spans="1:26" s="10" customFormat="1" ht="36" x14ac:dyDescent="0.25">
      <c r="A72" s="142"/>
      <c r="B72" s="179"/>
      <c r="C72" s="171" t="s">
        <v>117</v>
      </c>
      <c r="D72" s="175"/>
      <c r="E72" s="175"/>
      <c r="F72" s="175"/>
      <c r="G72" s="175"/>
      <c r="H72" s="175"/>
      <c r="I72" s="175"/>
      <c r="J72" s="175"/>
      <c r="K72" s="175"/>
      <c r="L72" s="176"/>
      <c r="M72" s="177"/>
      <c r="N72" s="178"/>
      <c r="O72" s="178"/>
      <c r="P72" s="178"/>
      <c r="Q72" s="178"/>
      <c r="R72" s="177"/>
      <c r="S72" s="178"/>
      <c r="T72" s="178"/>
      <c r="U72" s="178"/>
      <c r="V72" s="178"/>
      <c r="W72" s="177"/>
      <c r="X72" s="153"/>
      <c r="Y72" s="153"/>
      <c r="Z72" s="153"/>
    </row>
    <row r="73" spans="1:26" s="10" customFormat="1" ht="54" x14ac:dyDescent="0.25">
      <c r="A73" s="142"/>
      <c r="B73" s="179"/>
      <c r="C73" s="171" t="s">
        <v>118</v>
      </c>
      <c r="D73" s="175"/>
      <c r="E73" s="175"/>
      <c r="F73" s="175"/>
      <c r="G73" s="175"/>
      <c r="H73" s="175"/>
      <c r="I73" s="175"/>
      <c r="J73" s="175"/>
      <c r="K73" s="175"/>
      <c r="L73" s="176"/>
      <c r="M73" s="177"/>
      <c r="N73" s="178"/>
      <c r="O73" s="178"/>
      <c r="P73" s="178"/>
      <c r="Q73" s="178"/>
      <c r="R73" s="177"/>
      <c r="S73" s="178"/>
      <c r="T73" s="178"/>
      <c r="U73" s="178"/>
      <c r="V73" s="178"/>
      <c r="W73" s="177"/>
      <c r="X73" s="153"/>
      <c r="Y73" s="153"/>
      <c r="Z73" s="153"/>
    </row>
    <row r="74" spans="1:26" s="10" customFormat="1" ht="36" x14ac:dyDescent="0.25">
      <c r="A74" s="142"/>
      <c r="B74" s="180"/>
      <c r="C74" s="165" t="s">
        <v>119</v>
      </c>
      <c r="D74" s="175"/>
      <c r="E74" s="175"/>
      <c r="F74" s="175"/>
      <c r="G74" s="175"/>
      <c r="H74" s="175"/>
      <c r="I74" s="175"/>
      <c r="J74" s="175"/>
      <c r="K74" s="175"/>
      <c r="L74" s="176"/>
      <c r="M74" s="177"/>
      <c r="N74" s="178"/>
      <c r="O74" s="178"/>
      <c r="P74" s="178"/>
      <c r="Q74" s="178"/>
      <c r="R74" s="177"/>
      <c r="S74" s="178"/>
      <c r="T74" s="178"/>
      <c r="U74" s="178"/>
      <c r="V74" s="178"/>
      <c r="W74" s="177"/>
      <c r="X74" s="153"/>
      <c r="Y74" s="153"/>
      <c r="Z74" s="153"/>
    </row>
    <row r="75" spans="1:26" s="10" customFormat="1" x14ac:dyDescent="0.25">
      <c r="A75" s="134"/>
      <c r="B75" s="164"/>
      <c r="C75" s="165" t="s">
        <v>120</v>
      </c>
      <c r="D75" s="167">
        <f t="shared" ref="D75:H75" si="23">SUM(D76:D89)</f>
        <v>0</v>
      </c>
      <c r="E75" s="167">
        <f t="shared" si="23"/>
        <v>0</v>
      </c>
      <c r="F75" s="167">
        <f t="shared" si="23"/>
        <v>0</v>
      </c>
      <c r="G75" s="167">
        <f t="shared" si="23"/>
        <v>0</v>
      </c>
      <c r="H75" s="167">
        <f t="shared" si="23"/>
        <v>0</v>
      </c>
      <c r="I75" s="167">
        <f t="shared" ref="I75:Z75" si="24">SUM(I76:I89)</f>
        <v>0</v>
      </c>
      <c r="J75" s="167">
        <f t="shared" si="24"/>
        <v>0</v>
      </c>
      <c r="K75" s="167">
        <f t="shared" si="24"/>
        <v>0</v>
      </c>
      <c r="L75" s="168">
        <f t="shared" si="24"/>
        <v>0</v>
      </c>
      <c r="M75" s="169">
        <f t="shared" ref="M75:M122" si="25">N75+O75+P75</f>
        <v>0</v>
      </c>
      <c r="N75" s="169">
        <f t="shared" si="24"/>
        <v>0</v>
      </c>
      <c r="O75" s="169">
        <f t="shared" si="24"/>
        <v>0</v>
      </c>
      <c r="P75" s="169">
        <f t="shared" si="24"/>
        <v>0</v>
      </c>
      <c r="Q75" s="169">
        <f t="shared" si="24"/>
        <v>0</v>
      </c>
      <c r="R75" s="169">
        <f t="shared" ref="R75:R122" si="26">S75+T75+U75</f>
        <v>0</v>
      </c>
      <c r="S75" s="169">
        <f t="shared" si="24"/>
        <v>0</v>
      </c>
      <c r="T75" s="169">
        <f t="shared" si="24"/>
        <v>0</v>
      </c>
      <c r="U75" s="169">
        <f t="shared" si="24"/>
        <v>0</v>
      </c>
      <c r="V75" s="169">
        <f t="shared" si="24"/>
        <v>0</v>
      </c>
      <c r="W75" s="169">
        <f t="shared" ref="W75:W122" si="27">X75+Y75+Z75</f>
        <v>896.18</v>
      </c>
      <c r="X75" s="169">
        <f t="shared" si="24"/>
        <v>0</v>
      </c>
      <c r="Y75" s="169">
        <f t="shared" si="24"/>
        <v>0</v>
      </c>
      <c r="Z75" s="169">
        <f t="shared" si="24"/>
        <v>896.18</v>
      </c>
    </row>
    <row r="76" spans="1:26" s="10" customFormat="1" x14ac:dyDescent="0.25">
      <c r="A76" s="142"/>
      <c r="B76" s="179"/>
      <c r="C76" s="171" t="s">
        <v>121</v>
      </c>
      <c r="D76" s="175"/>
      <c r="E76" s="175"/>
      <c r="F76" s="175"/>
      <c r="G76" s="175"/>
      <c r="H76" s="175"/>
      <c r="I76" s="175"/>
      <c r="J76" s="175"/>
      <c r="K76" s="175"/>
      <c r="L76" s="176"/>
      <c r="M76" s="177"/>
      <c r="N76" s="178"/>
      <c r="O76" s="178"/>
      <c r="P76" s="178"/>
      <c r="Q76" s="178"/>
      <c r="R76" s="177"/>
      <c r="S76" s="178"/>
      <c r="T76" s="178"/>
      <c r="U76" s="178"/>
      <c r="V76" s="178"/>
      <c r="W76" s="177"/>
      <c r="X76" s="153"/>
      <c r="Y76" s="153"/>
      <c r="Z76" s="153"/>
    </row>
    <row r="77" spans="1:26" s="10" customFormat="1" ht="36" x14ac:dyDescent="0.25">
      <c r="A77" s="142"/>
      <c r="B77" s="179"/>
      <c r="C77" s="171" t="s">
        <v>122</v>
      </c>
      <c r="D77" s="175"/>
      <c r="E77" s="175"/>
      <c r="F77" s="175"/>
      <c r="G77" s="175"/>
      <c r="H77" s="175"/>
      <c r="I77" s="175"/>
      <c r="J77" s="175"/>
      <c r="K77" s="175"/>
      <c r="L77" s="176"/>
      <c r="M77" s="177"/>
      <c r="N77" s="178"/>
      <c r="O77" s="178"/>
      <c r="P77" s="178"/>
      <c r="Q77" s="178"/>
      <c r="R77" s="177"/>
      <c r="S77" s="178"/>
      <c r="T77" s="178"/>
      <c r="U77" s="178"/>
      <c r="V77" s="178"/>
      <c r="W77" s="177"/>
      <c r="X77" s="153"/>
      <c r="Y77" s="153"/>
      <c r="Z77" s="153"/>
    </row>
    <row r="78" spans="1:26" s="10" customFormat="1" x14ac:dyDescent="0.25">
      <c r="A78" s="142"/>
      <c r="B78" s="179"/>
      <c r="C78" s="171" t="s">
        <v>123</v>
      </c>
      <c r="D78" s="175"/>
      <c r="E78" s="175"/>
      <c r="F78" s="175"/>
      <c r="G78" s="175"/>
      <c r="H78" s="175"/>
      <c r="I78" s="175"/>
      <c r="J78" s="175"/>
      <c r="K78" s="175"/>
      <c r="L78" s="176"/>
      <c r="M78" s="177"/>
      <c r="N78" s="178"/>
      <c r="O78" s="178"/>
      <c r="P78" s="178"/>
      <c r="Q78" s="178"/>
      <c r="R78" s="177"/>
      <c r="S78" s="178"/>
      <c r="T78" s="178"/>
      <c r="U78" s="178"/>
      <c r="V78" s="178"/>
      <c r="W78" s="177"/>
      <c r="X78" s="153"/>
      <c r="Y78" s="153"/>
      <c r="Z78" s="153"/>
    </row>
    <row r="79" spans="1:26" s="10" customFormat="1" ht="54" x14ac:dyDescent="0.25">
      <c r="A79" s="142"/>
      <c r="B79" s="179"/>
      <c r="C79" s="171" t="s">
        <v>124</v>
      </c>
      <c r="D79" s="175"/>
      <c r="E79" s="175"/>
      <c r="F79" s="175"/>
      <c r="G79" s="175"/>
      <c r="H79" s="175"/>
      <c r="I79" s="175"/>
      <c r="J79" s="175"/>
      <c r="K79" s="175"/>
      <c r="L79" s="176"/>
      <c r="M79" s="177"/>
      <c r="N79" s="178"/>
      <c r="O79" s="178"/>
      <c r="P79" s="178"/>
      <c r="Q79" s="178"/>
      <c r="R79" s="177"/>
      <c r="S79" s="178"/>
      <c r="T79" s="178"/>
      <c r="U79" s="178"/>
      <c r="V79" s="178"/>
      <c r="W79" s="177"/>
      <c r="X79" s="153"/>
      <c r="Y79" s="153"/>
      <c r="Z79" s="153"/>
    </row>
    <row r="80" spans="1:26" s="10" customFormat="1" x14ac:dyDescent="0.25">
      <c r="A80" s="142"/>
      <c r="B80" s="179"/>
      <c r="C80" s="171" t="s">
        <v>125</v>
      </c>
      <c r="D80" s="175"/>
      <c r="E80" s="175"/>
      <c r="F80" s="175"/>
      <c r="G80" s="175"/>
      <c r="H80" s="175"/>
      <c r="I80" s="175"/>
      <c r="J80" s="175"/>
      <c r="K80" s="175"/>
      <c r="L80" s="176"/>
      <c r="M80" s="177"/>
      <c r="N80" s="178"/>
      <c r="O80" s="178"/>
      <c r="P80" s="178"/>
      <c r="Q80" s="178"/>
      <c r="R80" s="177"/>
      <c r="S80" s="178"/>
      <c r="T80" s="178"/>
      <c r="U80" s="178"/>
      <c r="V80" s="178"/>
      <c r="W80" s="177"/>
      <c r="X80" s="153"/>
      <c r="Y80" s="153"/>
      <c r="Z80" s="153"/>
    </row>
    <row r="81" spans="1:26" s="10" customFormat="1" ht="54" x14ac:dyDescent="0.25">
      <c r="A81" s="142"/>
      <c r="B81" s="179"/>
      <c r="C81" s="171" t="s">
        <v>126</v>
      </c>
      <c r="D81" s="175"/>
      <c r="E81" s="175"/>
      <c r="F81" s="175"/>
      <c r="G81" s="175"/>
      <c r="H81" s="175"/>
      <c r="I81" s="175"/>
      <c r="J81" s="175"/>
      <c r="K81" s="175"/>
      <c r="L81" s="176"/>
      <c r="M81" s="177"/>
      <c r="N81" s="178"/>
      <c r="O81" s="178"/>
      <c r="P81" s="178"/>
      <c r="Q81" s="178"/>
      <c r="R81" s="177"/>
      <c r="S81" s="178"/>
      <c r="T81" s="178"/>
      <c r="U81" s="178"/>
      <c r="V81" s="178"/>
      <c r="W81" s="177"/>
      <c r="X81" s="153"/>
      <c r="Y81" s="153"/>
      <c r="Z81" s="153"/>
    </row>
    <row r="82" spans="1:26" s="10" customFormat="1" ht="36" x14ac:dyDescent="0.25">
      <c r="A82" s="134">
        <v>896.18</v>
      </c>
      <c r="B82" s="179"/>
      <c r="C82" s="171" t="s">
        <v>127</v>
      </c>
      <c r="D82" s="175"/>
      <c r="E82" s="175"/>
      <c r="F82" s="175"/>
      <c r="G82" s="175"/>
      <c r="H82" s="175"/>
      <c r="I82" s="175"/>
      <c r="J82" s="175"/>
      <c r="K82" s="175"/>
      <c r="L82" s="176"/>
      <c r="M82" s="177"/>
      <c r="N82" s="178"/>
      <c r="O82" s="178"/>
      <c r="P82" s="178"/>
      <c r="Q82" s="178"/>
      <c r="R82" s="177"/>
      <c r="S82" s="178"/>
      <c r="T82" s="178"/>
      <c r="U82" s="178"/>
      <c r="V82" s="178"/>
      <c r="W82" s="177"/>
      <c r="X82" s="153"/>
      <c r="Y82" s="153"/>
      <c r="Z82" s="153">
        <v>896.18</v>
      </c>
    </row>
    <row r="83" spans="1:26" s="10" customFormat="1" x14ac:dyDescent="0.25">
      <c r="A83" s="142"/>
      <c r="B83" s="179"/>
      <c r="C83" s="171" t="s">
        <v>128</v>
      </c>
      <c r="D83" s="175"/>
      <c r="E83" s="175"/>
      <c r="F83" s="175"/>
      <c r="G83" s="175"/>
      <c r="H83" s="175"/>
      <c r="I83" s="175"/>
      <c r="J83" s="175"/>
      <c r="K83" s="175"/>
      <c r="L83" s="176"/>
      <c r="M83" s="177"/>
      <c r="N83" s="178"/>
      <c r="O83" s="178"/>
      <c r="P83" s="178"/>
      <c r="Q83" s="178"/>
      <c r="R83" s="177"/>
      <c r="S83" s="178"/>
      <c r="T83" s="178"/>
      <c r="U83" s="178"/>
      <c r="V83" s="178"/>
      <c r="W83" s="177"/>
      <c r="X83" s="153"/>
      <c r="Y83" s="153"/>
      <c r="Z83" s="153"/>
    </row>
    <row r="84" spans="1:26" s="10" customFormat="1" x14ac:dyDescent="0.25">
      <c r="A84" s="142"/>
      <c r="B84" s="179"/>
      <c r="C84" s="171" t="s">
        <v>129</v>
      </c>
      <c r="D84" s="175"/>
      <c r="E84" s="175"/>
      <c r="F84" s="175"/>
      <c r="G84" s="175"/>
      <c r="H84" s="175"/>
      <c r="I84" s="175"/>
      <c r="J84" s="175"/>
      <c r="K84" s="175"/>
      <c r="L84" s="176"/>
      <c r="M84" s="177"/>
      <c r="N84" s="178"/>
      <c r="O84" s="178"/>
      <c r="P84" s="178"/>
      <c r="Q84" s="178"/>
      <c r="R84" s="177"/>
      <c r="S84" s="178"/>
      <c r="T84" s="178"/>
      <c r="U84" s="178"/>
      <c r="V84" s="178"/>
      <c r="W84" s="177"/>
      <c r="X84" s="153"/>
      <c r="Y84" s="153"/>
      <c r="Z84" s="153"/>
    </row>
    <row r="85" spans="1:26" s="10" customFormat="1" x14ac:dyDescent="0.25">
      <c r="A85" s="134"/>
      <c r="B85" s="179"/>
      <c r="C85" s="171" t="s">
        <v>130</v>
      </c>
      <c r="D85" s="175"/>
      <c r="E85" s="175"/>
      <c r="F85" s="175"/>
      <c r="G85" s="175"/>
      <c r="H85" s="175"/>
      <c r="I85" s="175"/>
      <c r="J85" s="175"/>
      <c r="K85" s="175"/>
      <c r="L85" s="176"/>
      <c r="M85" s="177"/>
      <c r="N85" s="178"/>
      <c r="O85" s="178"/>
      <c r="P85" s="178"/>
      <c r="Q85" s="178"/>
      <c r="R85" s="177"/>
      <c r="S85" s="178"/>
      <c r="T85" s="178"/>
      <c r="U85" s="178"/>
      <c r="V85" s="178"/>
      <c r="W85" s="177"/>
      <c r="X85" s="153"/>
      <c r="Y85" s="153"/>
      <c r="Z85" s="153"/>
    </row>
    <row r="86" spans="1:26" s="10" customFormat="1" x14ac:dyDescent="0.25">
      <c r="A86" s="142"/>
      <c r="B86" s="179"/>
      <c r="C86" s="171" t="s">
        <v>131</v>
      </c>
      <c r="D86" s="175"/>
      <c r="E86" s="175"/>
      <c r="F86" s="175"/>
      <c r="G86" s="175"/>
      <c r="H86" s="175"/>
      <c r="I86" s="175"/>
      <c r="J86" s="175"/>
      <c r="K86" s="175"/>
      <c r="L86" s="176"/>
      <c r="M86" s="177"/>
      <c r="N86" s="178"/>
      <c r="O86" s="178"/>
      <c r="P86" s="178"/>
      <c r="Q86" s="178"/>
      <c r="R86" s="177"/>
      <c r="S86" s="178"/>
      <c r="T86" s="178"/>
      <c r="U86" s="178"/>
      <c r="V86" s="178"/>
      <c r="W86" s="177"/>
      <c r="X86" s="153"/>
      <c r="Y86" s="153"/>
      <c r="Z86" s="153"/>
    </row>
    <row r="87" spans="1:26" s="10" customFormat="1" ht="36" x14ac:dyDescent="0.25">
      <c r="A87" s="142"/>
      <c r="B87" s="179"/>
      <c r="C87" s="171" t="s">
        <v>132</v>
      </c>
      <c r="D87" s="175"/>
      <c r="E87" s="175"/>
      <c r="F87" s="175"/>
      <c r="G87" s="175"/>
      <c r="H87" s="175"/>
      <c r="I87" s="175"/>
      <c r="J87" s="175"/>
      <c r="K87" s="175"/>
      <c r="L87" s="176"/>
      <c r="M87" s="177"/>
      <c r="N87" s="178"/>
      <c r="O87" s="178"/>
      <c r="P87" s="178"/>
      <c r="Q87" s="178"/>
      <c r="R87" s="177"/>
      <c r="S87" s="178"/>
      <c r="T87" s="178"/>
      <c r="U87" s="178"/>
      <c r="V87" s="178"/>
      <c r="W87" s="177"/>
      <c r="X87" s="153"/>
      <c r="Y87" s="153"/>
      <c r="Z87" s="153"/>
    </row>
    <row r="88" spans="1:26" s="10" customFormat="1" x14ac:dyDescent="0.25">
      <c r="A88" s="142"/>
      <c r="B88" s="179"/>
      <c r="C88" s="171" t="s">
        <v>133</v>
      </c>
      <c r="D88" s="175"/>
      <c r="E88" s="175"/>
      <c r="F88" s="175"/>
      <c r="G88" s="175"/>
      <c r="H88" s="175"/>
      <c r="I88" s="175"/>
      <c r="J88" s="175"/>
      <c r="K88" s="175"/>
      <c r="L88" s="176"/>
      <c r="M88" s="177"/>
      <c r="N88" s="178"/>
      <c r="O88" s="178"/>
      <c r="P88" s="178"/>
      <c r="Q88" s="178"/>
      <c r="R88" s="177"/>
      <c r="S88" s="178"/>
      <c r="T88" s="178"/>
      <c r="U88" s="178"/>
      <c r="V88" s="178"/>
      <c r="W88" s="177"/>
      <c r="X88" s="153"/>
      <c r="Y88" s="153"/>
      <c r="Z88" s="153"/>
    </row>
    <row r="89" spans="1:26" s="10" customFormat="1" ht="36" x14ac:dyDescent="0.25">
      <c r="A89" s="134"/>
      <c r="B89" s="179"/>
      <c r="C89" s="171" t="s">
        <v>134</v>
      </c>
      <c r="D89" s="175"/>
      <c r="E89" s="175"/>
      <c r="F89" s="175"/>
      <c r="G89" s="175"/>
      <c r="H89" s="175"/>
      <c r="I89" s="175"/>
      <c r="J89" s="175"/>
      <c r="K89" s="175"/>
      <c r="L89" s="176"/>
      <c r="M89" s="177"/>
      <c r="N89" s="178"/>
      <c r="O89" s="178"/>
      <c r="P89" s="178"/>
      <c r="Q89" s="178"/>
      <c r="R89" s="177"/>
      <c r="S89" s="178"/>
      <c r="T89" s="178"/>
      <c r="U89" s="178"/>
      <c r="V89" s="178"/>
      <c r="W89" s="177"/>
      <c r="X89" s="153"/>
      <c r="Y89" s="153"/>
      <c r="Z89" s="153"/>
    </row>
    <row r="90" spans="1:26" s="10" customFormat="1" x14ac:dyDescent="0.25">
      <c r="A90" s="142" t="s">
        <v>54</v>
      </c>
      <c r="B90" s="162"/>
      <c r="C90" s="163" t="s">
        <v>37</v>
      </c>
      <c r="D90" s="158">
        <f t="shared" ref="D90:H90" si="28">D91+D96+D97</f>
        <v>0</v>
      </c>
      <c r="E90" s="158">
        <f t="shared" si="28"/>
        <v>0</v>
      </c>
      <c r="F90" s="158">
        <f t="shared" si="28"/>
        <v>0</v>
      </c>
      <c r="G90" s="158">
        <f t="shared" si="28"/>
        <v>0</v>
      </c>
      <c r="H90" s="158">
        <f t="shared" si="28"/>
        <v>0</v>
      </c>
      <c r="I90" s="158">
        <f t="shared" ref="I90:Z90" si="29">I91+I96+I97</f>
        <v>0</v>
      </c>
      <c r="J90" s="158">
        <f t="shared" si="29"/>
        <v>0</v>
      </c>
      <c r="K90" s="158">
        <f t="shared" si="29"/>
        <v>0</v>
      </c>
      <c r="L90" s="159">
        <f t="shared" si="29"/>
        <v>0</v>
      </c>
      <c r="M90" s="160">
        <f t="shared" si="25"/>
        <v>0</v>
      </c>
      <c r="N90" s="160">
        <f t="shared" si="29"/>
        <v>0</v>
      </c>
      <c r="O90" s="160">
        <f t="shared" si="29"/>
        <v>0</v>
      </c>
      <c r="P90" s="160">
        <f t="shared" si="29"/>
        <v>0</v>
      </c>
      <c r="Q90" s="160">
        <f t="shared" si="29"/>
        <v>0</v>
      </c>
      <c r="R90" s="160">
        <f t="shared" si="26"/>
        <v>0</v>
      </c>
      <c r="S90" s="160">
        <f t="shared" si="29"/>
        <v>0</v>
      </c>
      <c r="T90" s="160">
        <f t="shared" si="29"/>
        <v>0</v>
      </c>
      <c r="U90" s="160">
        <f t="shared" si="29"/>
        <v>0</v>
      </c>
      <c r="V90" s="160">
        <f t="shared" si="29"/>
        <v>0</v>
      </c>
      <c r="W90" s="160">
        <f t="shared" si="27"/>
        <v>0</v>
      </c>
      <c r="X90" s="160">
        <f t="shared" si="29"/>
        <v>0</v>
      </c>
      <c r="Y90" s="160">
        <f t="shared" si="29"/>
        <v>0</v>
      </c>
      <c r="Z90" s="160">
        <f t="shared" si="29"/>
        <v>0</v>
      </c>
    </row>
    <row r="91" spans="1:26" s="10" customFormat="1" x14ac:dyDescent="0.25">
      <c r="A91" s="142"/>
      <c r="B91" s="164"/>
      <c r="C91" s="165" t="s">
        <v>135</v>
      </c>
      <c r="D91" s="167">
        <f t="shared" ref="D91:H91" si="30">SUM(D92:D95)</f>
        <v>0</v>
      </c>
      <c r="E91" s="167">
        <f t="shared" si="30"/>
        <v>0</v>
      </c>
      <c r="F91" s="167">
        <f t="shared" si="30"/>
        <v>0</v>
      </c>
      <c r="G91" s="167">
        <f t="shared" si="30"/>
        <v>0</v>
      </c>
      <c r="H91" s="167">
        <f t="shared" si="30"/>
        <v>0</v>
      </c>
      <c r="I91" s="167">
        <f t="shared" ref="I91:Z91" si="31">SUM(I92:I95)</f>
        <v>0</v>
      </c>
      <c r="J91" s="167">
        <f t="shared" si="31"/>
        <v>0</v>
      </c>
      <c r="K91" s="167">
        <f t="shared" si="31"/>
        <v>0</v>
      </c>
      <c r="L91" s="168">
        <f t="shared" si="31"/>
        <v>0</v>
      </c>
      <c r="M91" s="169">
        <f t="shared" si="25"/>
        <v>0</v>
      </c>
      <c r="N91" s="169">
        <f t="shared" si="31"/>
        <v>0</v>
      </c>
      <c r="O91" s="169">
        <f t="shared" si="31"/>
        <v>0</v>
      </c>
      <c r="P91" s="169">
        <f t="shared" si="31"/>
        <v>0</v>
      </c>
      <c r="Q91" s="169">
        <f t="shared" si="31"/>
        <v>0</v>
      </c>
      <c r="R91" s="169">
        <f t="shared" si="26"/>
        <v>0</v>
      </c>
      <c r="S91" s="169">
        <f t="shared" si="31"/>
        <v>0</v>
      </c>
      <c r="T91" s="169">
        <f t="shared" si="31"/>
        <v>0</v>
      </c>
      <c r="U91" s="169">
        <f t="shared" si="31"/>
        <v>0</v>
      </c>
      <c r="V91" s="169">
        <f t="shared" si="31"/>
        <v>0</v>
      </c>
      <c r="W91" s="169">
        <f t="shared" si="27"/>
        <v>0</v>
      </c>
      <c r="X91" s="169">
        <f t="shared" si="31"/>
        <v>0</v>
      </c>
      <c r="Y91" s="169">
        <f t="shared" si="31"/>
        <v>0</v>
      </c>
      <c r="Z91" s="169">
        <f t="shared" si="31"/>
        <v>0</v>
      </c>
    </row>
    <row r="92" spans="1:26" s="10" customFormat="1" x14ac:dyDescent="0.25">
      <c r="A92" s="142"/>
      <c r="B92" s="179"/>
      <c r="C92" s="171" t="s">
        <v>136</v>
      </c>
      <c r="D92" s="175"/>
      <c r="E92" s="175"/>
      <c r="F92" s="175"/>
      <c r="G92" s="175"/>
      <c r="H92" s="175"/>
      <c r="I92" s="175"/>
      <c r="J92" s="175"/>
      <c r="K92" s="175"/>
      <c r="L92" s="176"/>
      <c r="M92" s="177"/>
      <c r="N92" s="178"/>
      <c r="O92" s="178"/>
      <c r="P92" s="178"/>
      <c r="Q92" s="178"/>
      <c r="R92" s="177"/>
      <c r="S92" s="178"/>
      <c r="T92" s="178"/>
      <c r="U92" s="178"/>
      <c r="V92" s="178"/>
      <c r="W92" s="177"/>
      <c r="X92" s="153"/>
      <c r="Y92" s="153"/>
      <c r="Z92" s="153"/>
    </row>
    <row r="93" spans="1:26" s="10" customFormat="1" x14ac:dyDescent="0.25">
      <c r="A93" s="142"/>
      <c r="B93" s="179"/>
      <c r="C93" s="171" t="s">
        <v>137</v>
      </c>
      <c r="D93" s="175"/>
      <c r="E93" s="175"/>
      <c r="F93" s="175"/>
      <c r="G93" s="175"/>
      <c r="H93" s="175"/>
      <c r="I93" s="175"/>
      <c r="J93" s="175"/>
      <c r="K93" s="175"/>
      <c r="L93" s="176"/>
      <c r="M93" s="177"/>
      <c r="N93" s="178"/>
      <c r="O93" s="178"/>
      <c r="P93" s="178"/>
      <c r="Q93" s="178"/>
      <c r="R93" s="177"/>
      <c r="S93" s="178"/>
      <c r="T93" s="178"/>
      <c r="U93" s="178"/>
      <c r="V93" s="178"/>
      <c r="W93" s="177"/>
      <c r="X93" s="153"/>
      <c r="Y93" s="153"/>
      <c r="Z93" s="153"/>
    </row>
    <row r="94" spans="1:26" s="10" customFormat="1" x14ac:dyDescent="0.25">
      <c r="A94" s="142"/>
      <c r="B94" s="179"/>
      <c r="C94" s="171" t="s">
        <v>138</v>
      </c>
      <c r="D94" s="175"/>
      <c r="E94" s="175"/>
      <c r="F94" s="175"/>
      <c r="G94" s="175"/>
      <c r="H94" s="175"/>
      <c r="I94" s="175"/>
      <c r="J94" s="175"/>
      <c r="K94" s="175"/>
      <c r="L94" s="176"/>
      <c r="M94" s="177"/>
      <c r="N94" s="178"/>
      <c r="O94" s="178"/>
      <c r="P94" s="178"/>
      <c r="Q94" s="178"/>
      <c r="R94" s="177"/>
      <c r="S94" s="178"/>
      <c r="T94" s="178"/>
      <c r="U94" s="178"/>
      <c r="V94" s="178"/>
      <c r="W94" s="177"/>
      <c r="X94" s="153"/>
      <c r="Y94" s="153"/>
      <c r="Z94" s="153"/>
    </row>
    <row r="95" spans="1:26" s="10" customFormat="1" x14ac:dyDescent="0.25">
      <c r="A95" s="142"/>
      <c r="B95" s="179"/>
      <c r="C95" s="171" t="s">
        <v>139</v>
      </c>
      <c r="D95" s="175"/>
      <c r="E95" s="175"/>
      <c r="F95" s="175"/>
      <c r="G95" s="175"/>
      <c r="H95" s="175"/>
      <c r="I95" s="175"/>
      <c r="J95" s="175"/>
      <c r="K95" s="175"/>
      <c r="L95" s="176"/>
      <c r="M95" s="177"/>
      <c r="N95" s="178"/>
      <c r="O95" s="178"/>
      <c r="P95" s="178"/>
      <c r="Q95" s="178"/>
      <c r="R95" s="177"/>
      <c r="S95" s="178"/>
      <c r="T95" s="178"/>
      <c r="U95" s="178"/>
      <c r="V95" s="178"/>
      <c r="W95" s="177"/>
      <c r="X95" s="153"/>
      <c r="Y95" s="153"/>
      <c r="Z95" s="153"/>
    </row>
    <row r="96" spans="1:26" s="10" customFormat="1" ht="36" x14ac:dyDescent="0.25">
      <c r="A96" s="142"/>
      <c r="B96" s="180"/>
      <c r="C96" s="165" t="s">
        <v>140</v>
      </c>
      <c r="D96" s="175"/>
      <c r="E96" s="175"/>
      <c r="F96" s="175"/>
      <c r="G96" s="175"/>
      <c r="H96" s="175"/>
      <c r="I96" s="175"/>
      <c r="J96" s="175"/>
      <c r="K96" s="175"/>
      <c r="L96" s="176"/>
      <c r="M96" s="177"/>
      <c r="N96" s="178"/>
      <c r="O96" s="178"/>
      <c r="P96" s="178"/>
      <c r="Q96" s="178"/>
      <c r="R96" s="177"/>
      <c r="S96" s="178"/>
      <c r="T96" s="178"/>
      <c r="U96" s="178"/>
      <c r="V96" s="178"/>
      <c r="W96" s="177"/>
      <c r="X96" s="153"/>
      <c r="Y96" s="153"/>
      <c r="Z96" s="153"/>
    </row>
    <row r="97" spans="1:26" s="10" customFormat="1" ht="36" x14ac:dyDescent="0.25">
      <c r="A97" s="142"/>
      <c r="B97" s="180"/>
      <c r="C97" s="165" t="s">
        <v>141</v>
      </c>
      <c r="D97" s="175"/>
      <c r="E97" s="175"/>
      <c r="F97" s="175"/>
      <c r="G97" s="175"/>
      <c r="H97" s="175"/>
      <c r="I97" s="175"/>
      <c r="J97" s="175"/>
      <c r="K97" s="175"/>
      <c r="L97" s="176"/>
      <c r="M97" s="177"/>
      <c r="N97" s="178"/>
      <c r="O97" s="178"/>
      <c r="P97" s="178"/>
      <c r="Q97" s="178"/>
      <c r="R97" s="177"/>
      <c r="S97" s="178"/>
      <c r="T97" s="178"/>
      <c r="U97" s="178"/>
      <c r="V97" s="178"/>
      <c r="W97" s="177"/>
      <c r="X97" s="153"/>
      <c r="Y97" s="153"/>
      <c r="Z97" s="153"/>
    </row>
    <row r="98" spans="1:26" s="10" customFormat="1" x14ac:dyDescent="0.25">
      <c r="A98" s="142" t="s">
        <v>54</v>
      </c>
      <c r="B98" s="181"/>
      <c r="C98" s="163" t="s">
        <v>38</v>
      </c>
      <c r="D98" s="175"/>
      <c r="E98" s="175"/>
      <c r="F98" s="175"/>
      <c r="G98" s="175"/>
      <c r="H98" s="175"/>
      <c r="I98" s="175"/>
      <c r="J98" s="175"/>
      <c r="K98" s="175"/>
      <c r="L98" s="176"/>
      <c r="M98" s="177"/>
      <c r="N98" s="178"/>
      <c r="O98" s="178"/>
      <c r="P98" s="178"/>
      <c r="Q98" s="178"/>
      <c r="R98" s="177"/>
      <c r="S98" s="178"/>
      <c r="T98" s="178"/>
      <c r="U98" s="178"/>
      <c r="V98" s="178"/>
      <c r="W98" s="177"/>
      <c r="X98" s="153"/>
      <c r="Y98" s="153"/>
      <c r="Z98" s="153"/>
    </row>
    <row r="99" spans="1:26" s="10" customFormat="1" x14ac:dyDescent="0.25">
      <c r="A99" s="142" t="s">
        <v>54</v>
      </c>
      <c r="B99" s="162"/>
      <c r="C99" s="163" t="s">
        <v>28</v>
      </c>
      <c r="D99" s="158">
        <f t="shared" ref="D99:H99" si="32">D100+D103+D106</f>
        <v>0</v>
      </c>
      <c r="E99" s="158">
        <f t="shared" si="32"/>
        <v>0</v>
      </c>
      <c r="F99" s="158">
        <f t="shared" si="32"/>
        <v>0</v>
      </c>
      <c r="G99" s="158">
        <f t="shared" si="32"/>
        <v>0</v>
      </c>
      <c r="H99" s="158">
        <f t="shared" si="32"/>
        <v>0</v>
      </c>
      <c r="I99" s="158">
        <f t="shared" ref="I99:Z99" si="33">I100+I103+I106</f>
        <v>0</v>
      </c>
      <c r="J99" s="158">
        <f t="shared" si="33"/>
        <v>0</v>
      </c>
      <c r="K99" s="158">
        <f t="shared" si="33"/>
        <v>0</v>
      </c>
      <c r="L99" s="159">
        <f t="shared" si="33"/>
        <v>0</v>
      </c>
      <c r="M99" s="160">
        <f t="shared" si="25"/>
        <v>0</v>
      </c>
      <c r="N99" s="160">
        <f t="shared" si="33"/>
        <v>0</v>
      </c>
      <c r="O99" s="160">
        <f t="shared" si="33"/>
        <v>0</v>
      </c>
      <c r="P99" s="160">
        <f t="shared" si="33"/>
        <v>0</v>
      </c>
      <c r="Q99" s="160">
        <f t="shared" si="33"/>
        <v>0</v>
      </c>
      <c r="R99" s="160">
        <f t="shared" si="26"/>
        <v>0</v>
      </c>
      <c r="S99" s="160">
        <f t="shared" si="33"/>
        <v>0</v>
      </c>
      <c r="T99" s="160">
        <f t="shared" si="33"/>
        <v>0</v>
      </c>
      <c r="U99" s="160">
        <f t="shared" si="33"/>
        <v>0</v>
      </c>
      <c r="V99" s="160">
        <f t="shared" si="33"/>
        <v>0</v>
      </c>
      <c r="W99" s="160">
        <f t="shared" si="27"/>
        <v>0</v>
      </c>
      <c r="X99" s="160">
        <f t="shared" si="33"/>
        <v>0</v>
      </c>
      <c r="Y99" s="160">
        <f t="shared" si="33"/>
        <v>0</v>
      </c>
      <c r="Z99" s="160">
        <f t="shared" si="33"/>
        <v>0</v>
      </c>
    </row>
    <row r="100" spans="1:26" s="10" customFormat="1" x14ac:dyDescent="0.25">
      <c r="A100" s="142"/>
      <c r="B100" s="164"/>
      <c r="C100" s="165" t="s">
        <v>142</v>
      </c>
      <c r="D100" s="167">
        <f t="shared" ref="D100:H100" si="34">SUM(D101:D102)</f>
        <v>0</v>
      </c>
      <c r="E100" s="167">
        <f t="shared" si="34"/>
        <v>0</v>
      </c>
      <c r="F100" s="167">
        <f t="shared" si="34"/>
        <v>0</v>
      </c>
      <c r="G100" s="167">
        <f t="shared" si="34"/>
        <v>0</v>
      </c>
      <c r="H100" s="167">
        <f t="shared" si="34"/>
        <v>0</v>
      </c>
      <c r="I100" s="167">
        <f t="shared" ref="I100:Z100" si="35">SUM(I101:I102)</f>
        <v>0</v>
      </c>
      <c r="J100" s="167">
        <f t="shared" si="35"/>
        <v>0</v>
      </c>
      <c r="K100" s="167">
        <f t="shared" si="35"/>
        <v>0</v>
      </c>
      <c r="L100" s="168">
        <f t="shared" si="35"/>
        <v>0</v>
      </c>
      <c r="M100" s="169">
        <f t="shared" si="25"/>
        <v>0</v>
      </c>
      <c r="N100" s="169">
        <f t="shared" si="35"/>
        <v>0</v>
      </c>
      <c r="O100" s="169">
        <f t="shared" si="35"/>
        <v>0</v>
      </c>
      <c r="P100" s="169">
        <f t="shared" si="35"/>
        <v>0</v>
      </c>
      <c r="Q100" s="169">
        <f t="shared" si="35"/>
        <v>0</v>
      </c>
      <c r="R100" s="169">
        <f t="shared" si="26"/>
        <v>0</v>
      </c>
      <c r="S100" s="169">
        <f t="shared" si="35"/>
        <v>0</v>
      </c>
      <c r="T100" s="169">
        <f t="shared" si="35"/>
        <v>0</v>
      </c>
      <c r="U100" s="169">
        <f t="shared" si="35"/>
        <v>0</v>
      </c>
      <c r="V100" s="169">
        <f t="shared" si="35"/>
        <v>0</v>
      </c>
      <c r="W100" s="169">
        <f t="shared" si="27"/>
        <v>0</v>
      </c>
      <c r="X100" s="169">
        <f t="shared" si="35"/>
        <v>0</v>
      </c>
      <c r="Y100" s="169">
        <f t="shared" si="35"/>
        <v>0</v>
      </c>
      <c r="Z100" s="169">
        <f t="shared" si="35"/>
        <v>0</v>
      </c>
    </row>
    <row r="101" spans="1:26" s="10" customFormat="1" x14ac:dyDescent="0.25">
      <c r="A101" s="142"/>
      <c r="B101" s="179"/>
      <c r="C101" s="171" t="s">
        <v>143</v>
      </c>
      <c r="D101" s="175"/>
      <c r="E101" s="175"/>
      <c r="F101" s="175"/>
      <c r="G101" s="175"/>
      <c r="H101" s="175"/>
      <c r="I101" s="175"/>
      <c r="J101" s="175"/>
      <c r="K101" s="175"/>
      <c r="L101" s="176"/>
      <c r="M101" s="177"/>
      <c r="N101" s="178"/>
      <c r="O101" s="178"/>
      <c r="P101" s="178"/>
      <c r="Q101" s="178"/>
      <c r="R101" s="177"/>
      <c r="S101" s="178"/>
      <c r="T101" s="178"/>
      <c r="U101" s="178"/>
      <c r="V101" s="178"/>
      <c r="W101" s="177"/>
      <c r="X101" s="153"/>
      <c r="Y101" s="153"/>
      <c r="Z101" s="153"/>
    </row>
    <row r="102" spans="1:26" s="10" customFormat="1" x14ac:dyDescent="0.25">
      <c r="A102" s="142"/>
      <c r="B102" s="179"/>
      <c r="C102" s="171" t="s">
        <v>144</v>
      </c>
      <c r="D102" s="175"/>
      <c r="E102" s="175"/>
      <c r="F102" s="175"/>
      <c r="G102" s="175"/>
      <c r="H102" s="175"/>
      <c r="I102" s="175"/>
      <c r="J102" s="175"/>
      <c r="K102" s="175"/>
      <c r="L102" s="176"/>
      <c r="M102" s="177"/>
      <c r="N102" s="178"/>
      <c r="O102" s="178"/>
      <c r="P102" s="178"/>
      <c r="Q102" s="178"/>
      <c r="R102" s="177"/>
      <c r="S102" s="178"/>
      <c r="T102" s="178"/>
      <c r="U102" s="178"/>
      <c r="V102" s="178"/>
      <c r="W102" s="177"/>
      <c r="X102" s="153"/>
      <c r="Y102" s="153"/>
      <c r="Z102" s="153"/>
    </row>
    <row r="103" spans="1:26" s="10" customFormat="1" x14ac:dyDescent="0.25">
      <c r="A103" s="142"/>
      <c r="B103" s="164"/>
      <c r="C103" s="165" t="s">
        <v>145</v>
      </c>
      <c r="D103" s="167">
        <f t="shared" ref="D103:H103" si="36">SUM(D104:D105)</f>
        <v>0</v>
      </c>
      <c r="E103" s="167">
        <f t="shared" si="36"/>
        <v>0</v>
      </c>
      <c r="F103" s="167">
        <f t="shared" si="36"/>
        <v>0</v>
      </c>
      <c r="G103" s="167">
        <f t="shared" si="36"/>
        <v>0</v>
      </c>
      <c r="H103" s="167">
        <f t="shared" si="36"/>
        <v>0</v>
      </c>
      <c r="I103" s="167">
        <f t="shared" ref="I103:Z103" si="37">SUM(I104:I105)</f>
        <v>0</v>
      </c>
      <c r="J103" s="167">
        <f t="shared" si="37"/>
        <v>0</v>
      </c>
      <c r="K103" s="167">
        <f t="shared" si="37"/>
        <v>0</v>
      </c>
      <c r="L103" s="168">
        <f t="shared" si="37"/>
        <v>0</v>
      </c>
      <c r="M103" s="169">
        <f t="shared" si="25"/>
        <v>0</v>
      </c>
      <c r="N103" s="169">
        <f t="shared" si="37"/>
        <v>0</v>
      </c>
      <c r="O103" s="169">
        <f t="shared" si="37"/>
        <v>0</v>
      </c>
      <c r="P103" s="169">
        <f t="shared" si="37"/>
        <v>0</v>
      </c>
      <c r="Q103" s="169">
        <f t="shared" si="37"/>
        <v>0</v>
      </c>
      <c r="R103" s="169">
        <f t="shared" si="26"/>
        <v>0</v>
      </c>
      <c r="S103" s="169">
        <f t="shared" si="37"/>
        <v>0</v>
      </c>
      <c r="T103" s="169">
        <f t="shared" si="37"/>
        <v>0</v>
      </c>
      <c r="U103" s="169">
        <f t="shared" si="37"/>
        <v>0</v>
      </c>
      <c r="V103" s="169">
        <f t="shared" si="37"/>
        <v>0</v>
      </c>
      <c r="W103" s="169">
        <f t="shared" si="27"/>
        <v>0</v>
      </c>
      <c r="X103" s="169">
        <f t="shared" si="37"/>
        <v>0</v>
      </c>
      <c r="Y103" s="169">
        <f t="shared" si="37"/>
        <v>0</v>
      </c>
      <c r="Z103" s="169">
        <f t="shared" si="37"/>
        <v>0</v>
      </c>
    </row>
    <row r="104" spans="1:26" s="10" customFormat="1" x14ac:dyDescent="0.25">
      <c r="A104" s="142"/>
      <c r="B104" s="179"/>
      <c r="C104" s="171" t="s">
        <v>143</v>
      </c>
      <c r="D104" s="175"/>
      <c r="E104" s="175"/>
      <c r="F104" s="175"/>
      <c r="G104" s="175"/>
      <c r="H104" s="175"/>
      <c r="I104" s="175"/>
      <c r="J104" s="175"/>
      <c r="K104" s="175"/>
      <c r="L104" s="176"/>
      <c r="M104" s="177"/>
      <c r="N104" s="178"/>
      <c r="O104" s="178"/>
      <c r="P104" s="178"/>
      <c r="Q104" s="178"/>
      <c r="R104" s="177"/>
      <c r="S104" s="178"/>
      <c r="T104" s="178"/>
      <c r="U104" s="178"/>
      <c r="V104" s="178"/>
      <c r="W104" s="177"/>
      <c r="X104" s="153"/>
      <c r="Y104" s="153"/>
      <c r="Z104" s="153"/>
    </row>
    <row r="105" spans="1:26" s="10" customFormat="1" x14ac:dyDescent="0.25">
      <c r="A105" s="142"/>
      <c r="B105" s="179"/>
      <c r="C105" s="171" t="s">
        <v>144</v>
      </c>
      <c r="D105" s="175"/>
      <c r="E105" s="175"/>
      <c r="F105" s="175"/>
      <c r="G105" s="175"/>
      <c r="H105" s="175"/>
      <c r="I105" s="175"/>
      <c r="J105" s="175"/>
      <c r="K105" s="175"/>
      <c r="L105" s="176"/>
      <c r="M105" s="177"/>
      <c r="N105" s="178"/>
      <c r="O105" s="178"/>
      <c r="P105" s="178"/>
      <c r="Q105" s="178"/>
      <c r="R105" s="177"/>
      <c r="S105" s="178"/>
      <c r="T105" s="178"/>
      <c r="U105" s="178"/>
      <c r="V105" s="178"/>
      <c r="W105" s="177"/>
      <c r="X105" s="153"/>
      <c r="Y105" s="153"/>
      <c r="Z105" s="153"/>
    </row>
    <row r="106" spans="1:26" s="10" customFormat="1" x14ac:dyDescent="0.25">
      <c r="A106" s="142"/>
      <c r="B106" s="164"/>
      <c r="C106" s="165" t="s">
        <v>146</v>
      </c>
      <c r="D106" s="167">
        <f t="shared" ref="D106:H106" si="38">SUM(D107:D108)</f>
        <v>0</v>
      </c>
      <c r="E106" s="167">
        <f t="shared" si="38"/>
        <v>0</v>
      </c>
      <c r="F106" s="167">
        <f t="shared" si="38"/>
        <v>0</v>
      </c>
      <c r="G106" s="167">
        <f t="shared" si="38"/>
        <v>0</v>
      </c>
      <c r="H106" s="167">
        <f t="shared" si="38"/>
        <v>0</v>
      </c>
      <c r="I106" s="167">
        <f t="shared" ref="I106:Z106" si="39">SUM(I107:I108)</f>
        <v>0</v>
      </c>
      <c r="J106" s="167">
        <f t="shared" si="39"/>
        <v>0</v>
      </c>
      <c r="K106" s="167">
        <f t="shared" si="39"/>
        <v>0</v>
      </c>
      <c r="L106" s="168">
        <f t="shared" si="39"/>
        <v>0</v>
      </c>
      <c r="M106" s="169">
        <f t="shared" si="25"/>
        <v>0</v>
      </c>
      <c r="N106" s="169">
        <f t="shared" si="39"/>
        <v>0</v>
      </c>
      <c r="O106" s="169">
        <f t="shared" si="39"/>
        <v>0</v>
      </c>
      <c r="P106" s="169">
        <f t="shared" si="39"/>
        <v>0</v>
      </c>
      <c r="Q106" s="169">
        <f t="shared" si="39"/>
        <v>0</v>
      </c>
      <c r="R106" s="169">
        <f t="shared" si="26"/>
        <v>0</v>
      </c>
      <c r="S106" s="169">
        <f t="shared" si="39"/>
        <v>0</v>
      </c>
      <c r="T106" s="169">
        <f t="shared" si="39"/>
        <v>0</v>
      </c>
      <c r="U106" s="169">
        <f t="shared" si="39"/>
        <v>0</v>
      </c>
      <c r="V106" s="169">
        <f t="shared" si="39"/>
        <v>0</v>
      </c>
      <c r="W106" s="169">
        <f t="shared" si="27"/>
        <v>0</v>
      </c>
      <c r="X106" s="169">
        <f t="shared" si="39"/>
        <v>0</v>
      </c>
      <c r="Y106" s="169">
        <f t="shared" si="39"/>
        <v>0</v>
      </c>
      <c r="Z106" s="169">
        <f t="shared" si="39"/>
        <v>0</v>
      </c>
    </row>
    <row r="107" spans="1:26" s="10" customFormat="1" x14ac:dyDescent="0.25">
      <c r="A107" s="142"/>
      <c r="B107" s="179"/>
      <c r="C107" s="171" t="s">
        <v>143</v>
      </c>
      <c r="D107" s="175"/>
      <c r="E107" s="175"/>
      <c r="F107" s="175"/>
      <c r="G107" s="175"/>
      <c r="H107" s="175"/>
      <c r="I107" s="175"/>
      <c r="J107" s="175"/>
      <c r="K107" s="175"/>
      <c r="L107" s="176"/>
      <c r="M107" s="177"/>
      <c r="N107" s="178"/>
      <c r="O107" s="178"/>
      <c r="P107" s="178"/>
      <c r="Q107" s="178"/>
      <c r="R107" s="177"/>
      <c r="S107" s="178"/>
      <c r="T107" s="178"/>
      <c r="U107" s="178"/>
      <c r="V107" s="178"/>
      <c r="W107" s="177"/>
      <c r="X107" s="153"/>
      <c r="Y107" s="153"/>
      <c r="Z107" s="153"/>
    </row>
    <row r="108" spans="1:26" s="10" customFormat="1" x14ac:dyDescent="0.25">
      <c r="A108" s="142"/>
      <c r="B108" s="179"/>
      <c r="C108" s="171" t="s">
        <v>144</v>
      </c>
      <c r="D108" s="175"/>
      <c r="E108" s="175"/>
      <c r="F108" s="175"/>
      <c r="G108" s="175"/>
      <c r="H108" s="175"/>
      <c r="I108" s="175"/>
      <c r="J108" s="175"/>
      <c r="K108" s="175"/>
      <c r="L108" s="176"/>
      <c r="M108" s="177"/>
      <c r="N108" s="178"/>
      <c r="O108" s="178"/>
      <c r="P108" s="178"/>
      <c r="Q108" s="178"/>
      <c r="R108" s="177"/>
      <c r="S108" s="178"/>
      <c r="T108" s="178"/>
      <c r="U108" s="178"/>
      <c r="V108" s="178"/>
      <c r="W108" s="177"/>
      <c r="X108" s="153"/>
      <c r="Y108" s="153"/>
      <c r="Z108" s="153"/>
    </row>
    <row r="109" spans="1:26" s="10" customFormat="1" x14ac:dyDescent="0.25">
      <c r="A109" s="134" t="s">
        <v>54</v>
      </c>
      <c r="B109" s="162"/>
      <c r="C109" s="163" t="s">
        <v>39</v>
      </c>
      <c r="D109" s="158">
        <f t="shared" ref="D109:H109" si="40">D110+D113+D116</f>
        <v>0</v>
      </c>
      <c r="E109" s="158">
        <f t="shared" si="40"/>
        <v>0</v>
      </c>
      <c r="F109" s="158">
        <f t="shared" si="40"/>
        <v>0</v>
      </c>
      <c r="G109" s="158">
        <f t="shared" si="40"/>
        <v>0</v>
      </c>
      <c r="H109" s="158">
        <f t="shared" si="40"/>
        <v>0</v>
      </c>
      <c r="I109" s="158">
        <f t="shared" ref="I109:Z109" si="41">I110+I113+I116</f>
        <v>0</v>
      </c>
      <c r="J109" s="158">
        <f t="shared" si="41"/>
        <v>0</v>
      </c>
      <c r="K109" s="158">
        <f t="shared" si="41"/>
        <v>0</v>
      </c>
      <c r="L109" s="159">
        <f t="shared" si="41"/>
        <v>0</v>
      </c>
      <c r="M109" s="160">
        <f t="shared" si="25"/>
        <v>0</v>
      </c>
      <c r="N109" s="160">
        <f t="shared" si="41"/>
        <v>0</v>
      </c>
      <c r="O109" s="160">
        <f t="shared" si="41"/>
        <v>0</v>
      </c>
      <c r="P109" s="160">
        <f t="shared" si="41"/>
        <v>0</v>
      </c>
      <c r="Q109" s="160">
        <f t="shared" si="41"/>
        <v>0</v>
      </c>
      <c r="R109" s="160">
        <f t="shared" si="26"/>
        <v>0</v>
      </c>
      <c r="S109" s="160">
        <f t="shared" si="41"/>
        <v>0</v>
      </c>
      <c r="T109" s="160">
        <f t="shared" si="41"/>
        <v>0</v>
      </c>
      <c r="U109" s="160">
        <f t="shared" si="41"/>
        <v>0</v>
      </c>
      <c r="V109" s="160">
        <f t="shared" si="41"/>
        <v>0</v>
      </c>
      <c r="W109" s="160">
        <f t="shared" si="27"/>
        <v>0</v>
      </c>
      <c r="X109" s="160">
        <f t="shared" si="41"/>
        <v>0</v>
      </c>
      <c r="Y109" s="160">
        <f t="shared" si="41"/>
        <v>0</v>
      </c>
      <c r="Z109" s="160">
        <f t="shared" si="41"/>
        <v>0</v>
      </c>
    </row>
    <row r="110" spans="1:26" s="10" customFormat="1" x14ac:dyDescent="0.25">
      <c r="A110" s="142"/>
      <c r="B110" s="164"/>
      <c r="C110" s="165" t="s">
        <v>147</v>
      </c>
      <c r="D110" s="167">
        <f t="shared" ref="D110:H110" si="42">SUM(D111:D112)</f>
        <v>0</v>
      </c>
      <c r="E110" s="167">
        <f t="shared" si="42"/>
        <v>0</v>
      </c>
      <c r="F110" s="167">
        <f t="shared" si="42"/>
        <v>0</v>
      </c>
      <c r="G110" s="167">
        <f t="shared" si="42"/>
        <v>0</v>
      </c>
      <c r="H110" s="167">
        <f t="shared" si="42"/>
        <v>0</v>
      </c>
      <c r="I110" s="167">
        <f t="shared" ref="I110:Z110" si="43">SUM(I111:I112)</f>
        <v>0</v>
      </c>
      <c r="J110" s="167">
        <f t="shared" si="43"/>
        <v>0</v>
      </c>
      <c r="K110" s="167">
        <f t="shared" si="43"/>
        <v>0</v>
      </c>
      <c r="L110" s="168">
        <f t="shared" si="43"/>
        <v>0</v>
      </c>
      <c r="M110" s="169">
        <f t="shared" si="25"/>
        <v>0</v>
      </c>
      <c r="N110" s="169">
        <f t="shared" si="43"/>
        <v>0</v>
      </c>
      <c r="O110" s="169">
        <f t="shared" si="43"/>
        <v>0</v>
      </c>
      <c r="P110" s="169">
        <f t="shared" si="43"/>
        <v>0</v>
      </c>
      <c r="Q110" s="169">
        <f t="shared" si="43"/>
        <v>0</v>
      </c>
      <c r="R110" s="169">
        <f t="shared" si="26"/>
        <v>0</v>
      </c>
      <c r="S110" s="169">
        <f t="shared" si="43"/>
        <v>0</v>
      </c>
      <c r="T110" s="169">
        <f t="shared" si="43"/>
        <v>0</v>
      </c>
      <c r="U110" s="169">
        <f t="shared" si="43"/>
        <v>0</v>
      </c>
      <c r="V110" s="169">
        <f t="shared" si="43"/>
        <v>0</v>
      </c>
      <c r="W110" s="169">
        <f t="shared" si="27"/>
        <v>0</v>
      </c>
      <c r="X110" s="169">
        <f t="shared" si="43"/>
        <v>0</v>
      </c>
      <c r="Y110" s="169">
        <f t="shared" si="43"/>
        <v>0</v>
      </c>
      <c r="Z110" s="169">
        <f t="shared" si="43"/>
        <v>0</v>
      </c>
    </row>
    <row r="111" spans="1:26" s="10" customFormat="1" x14ac:dyDescent="0.25">
      <c r="A111" s="142"/>
      <c r="B111" s="179"/>
      <c r="C111" s="171" t="s">
        <v>148</v>
      </c>
      <c r="D111" s="175"/>
      <c r="E111" s="175"/>
      <c r="F111" s="175"/>
      <c r="G111" s="175"/>
      <c r="H111" s="175"/>
      <c r="I111" s="175"/>
      <c r="J111" s="175"/>
      <c r="K111" s="175"/>
      <c r="L111" s="176"/>
      <c r="M111" s="177"/>
      <c r="N111" s="178"/>
      <c r="O111" s="178"/>
      <c r="P111" s="178"/>
      <c r="Q111" s="178"/>
      <c r="R111" s="177"/>
      <c r="S111" s="178"/>
      <c r="T111" s="178"/>
      <c r="U111" s="178"/>
      <c r="V111" s="178"/>
      <c r="W111" s="177"/>
      <c r="X111" s="153"/>
      <c r="Y111" s="153"/>
      <c r="Z111" s="153"/>
    </row>
    <row r="112" spans="1:26" s="10" customFormat="1" x14ac:dyDescent="0.25">
      <c r="A112" s="142"/>
      <c r="B112" s="179"/>
      <c r="C112" s="171" t="s">
        <v>149</v>
      </c>
      <c r="D112" s="175"/>
      <c r="E112" s="175"/>
      <c r="F112" s="175"/>
      <c r="G112" s="175"/>
      <c r="H112" s="175"/>
      <c r="I112" s="175"/>
      <c r="J112" s="175"/>
      <c r="K112" s="175"/>
      <c r="L112" s="176"/>
      <c r="M112" s="177"/>
      <c r="N112" s="178"/>
      <c r="O112" s="178"/>
      <c r="P112" s="178"/>
      <c r="Q112" s="178"/>
      <c r="R112" s="177"/>
      <c r="S112" s="178"/>
      <c r="T112" s="178"/>
      <c r="U112" s="178"/>
      <c r="V112" s="178"/>
      <c r="W112" s="177"/>
      <c r="X112" s="153"/>
      <c r="Y112" s="153"/>
      <c r="Z112" s="153"/>
    </row>
    <row r="113" spans="1:26" s="10" customFormat="1" x14ac:dyDescent="0.25">
      <c r="A113" s="142"/>
      <c r="B113" s="164"/>
      <c r="C113" s="165" t="s">
        <v>150</v>
      </c>
      <c r="D113" s="167">
        <f t="shared" ref="D113:H113" si="44">SUM(D114:D115)</f>
        <v>0</v>
      </c>
      <c r="E113" s="167">
        <f t="shared" si="44"/>
        <v>0</v>
      </c>
      <c r="F113" s="167">
        <f t="shared" si="44"/>
        <v>0</v>
      </c>
      <c r="G113" s="167">
        <f t="shared" si="44"/>
        <v>0</v>
      </c>
      <c r="H113" s="167">
        <f t="shared" si="44"/>
        <v>0</v>
      </c>
      <c r="I113" s="167">
        <f t="shared" ref="I113:Z113" si="45">SUM(I114:I115)</f>
        <v>0</v>
      </c>
      <c r="J113" s="167">
        <f t="shared" si="45"/>
        <v>0</v>
      </c>
      <c r="K113" s="167">
        <f t="shared" si="45"/>
        <v>0</v>
      </c>
      <c r="L113" s="168">
        <f t="shared" si="45"/>
        <v>0</v>
      </c>
      <c r="M113" s="169">
        <f t="shared" si="25"/>
        <v>0</v>
      </c>
      <c r="N113" s="169">
        <f t="shared" si="45"/>
        <v>0</v>
      </c>
      <c r="O113" s="169">
        <f t="shared" si="45"/>
        <v>0</v>
      </c>
      <c r="P113" s="169">
        <f t="shared" si="45"/>
        <v>0</v>
      </c>
      <c r="Q113" s="169">
        <f t="shared" si="45"/>
        <v>0</v>
      </c>
      <c r="R113" s="169">
        <f t="shared" si="26"/>
        <v>0</v>
      </c>
      <c r="S113" s="169">
        <f t="shared" si="45"/>
        <v>0</v>
      </c>
      <c r="T113" s="169">
        <f t="shared" si="45"/>
        <v>0</v>
      </c>
      <c r="U113" s="169">
        <f t="shared" si="45"/>
        <v>0</v>
      </c>
      <c r="V113" s="169">
        <f t="shared" si="45"/>
        <v>0</v>
      </c>
      <c r="W113" s="169">
        <f t="shared" si="27"/>
        <v>0</v>
      </c>
      <c r="X113" s="169">
        <f t="shared" si="45"/>
        <v>0</v>
      </c>
      <c r="Y113" s="169">
        <f t="shared" si="45"/>
        <v>0</v>
      </c>
      <c r="Z113" s="169">
        <f t="shared" si="45"/>
        <v>0</v>
      </c>
    </row>
    <row r="114" spans="1:26" s="10" customFormat="1" x14ac:dyDescent="0.25">
      <c r="A114" s="142"/>
      <c r="B114" s="179"/>
      <c r="C114" s="171" t="s">
        <v>148</v>
      </c>
      <c r="D114" s="175"/>
      <c r="E114" s="175"/>
      <c r="F114" s="175"/>
      <c r="G114" s="175"/>
      <c r="H114" s="175"/>
      <c r="I114" s="175"/>
      <c r="J114" s="175"/>
      <c r="K114" s="175"/>
      <c r="L114" s="176"/>
      <c r="M114" s="177"/>
      <c r="N114" s="178"/>
      <c r="O114" s="178"/>
      <c r="P114" s="178"/>
      <c r="Q114" s="178"/>
      <c r="R114" s="177"/>
      <c r="S114" s="178"/>
      <c r="T114" s="178"/>
      <c r="U114" s="178"/>
      <c r="V114" s="178"/>
      <c r="W114" s="177"/>
      <c r="X114" s="153"/>
      <c r="Y114" s="153"/>
      <c r="Z114" s="153"/>
    </row>
    <row r="115" spans="1:26" s="10" customFormat="1" x14ac:dyDescent="0.25">
      <c r="A115" s="142"/>
      <c r="B115" s="179"/>
      <c r="C115" s="171" t="s">
        <v>149</v>
      </c>
      <c r="D115" s="175"/>
      <c r="E115" s="175"/>
      <c r="F115" s="175"/>
      <c r="G115" s="175"/>
      <c r="H115" s="175"/>
      <c r="I115" s="175"/>
      <c r="J115" s="175"/>
      <c r="K115" s="175"/>
      <c r="L115" s="176"/>
      <c r="M115" s="177"/>
      <c r="N115" s="178"/>
      <c r="O115" s="178"/>
      <c r="P115" s="178"/>
      <c r="Q115" s="178"/>
      <c r="R115" s="177"/>
      <c r="S115" s="178"/>
      <c r="T115" s="178"/>
      <c r="U115" s="178"/>
      <c r="V115" s="178"/>
      <c r="W115" s="177"/>
      <c r="X115" s="153"/>
      <c r="Y115" s="153"/>
      <c r="Z115" s="153"/>
    </row>
    <row r="116" spans="1:26" s="10" customFormat="1" ht="36" x14ac:dyDescent="0.25">
      <c r="A116" s="134"/>
      <c r="B116" s="170"/>
      <c r="C116" s="171" t="s">
        <v>151</v>
      </c>
      <c r="D116" s="167">
        <f t="shared" ref="D116:H116" si="46">SUM(D117:D118)</f>
        <v>0</v>
      </c>
      <c r="E116" s="167">
        <f t="shared" si="46"/>
        <v>0</v>
      </c>
      <c r="F116" s="167">
        <f t="shared" si="46"/>
        <v>0</v>
      </c>
      <c r="G116" s="167">
        <f t="shared" si="46"/>
        <v>0</v>
      </c>
      <c r="H116" s="167">
        <f t="shared" si="46"/>
        <v>0</v>
      </c>
      <c r="I116" s="167">
        <f t="shared" ref="I116:Z116" si="47">SUM(I117:I118)</f>
        <v>0</v>
      </c>
      <c r="J116" s="167">
        <f t="shared" si="47"/>
        <v>0</v>
      </c>
      <c r="K116" s="167">
        <f t="shared" si="47"/>
        <v>0</v>
      </c>
      <c r="L116" s="168">
        <f t="shared" si="47"/>
        <v>0</v>
      </c>
      <c r="M116" s="169">
        <f t="shared" si="25"/>
        <v>0</v>
      </c>
      <c r="N116" s="169">
        <f t="shared" si="47"/>
        <v>0</v>
      </c>
      <c r="O116" s="169">
        <f t="shared" si="47"/>
        <v>0</v>
      </c>
      <c r="P116" s="169">
        <f t="shared" si="47"/>
        <v>0</v>
      </c>
      <c r="Q116" s="169">
        <f t="shared" si="47"/>
        <v>0</v>
      </c>
      <c r="R116" s="169">
        <f t="shared" si="26"/>
        <v>0</v>
      </c>
      <c r="S116" s="169">
        <f t="shared" si="47"/>
        <v>0</v>
      </c>
      <c r="T116" s="169">
        <f t="shared" si="47"/>
        <v>0</v>
      </c>
      <c r="U116" s="169">
        <f t="shared" si="47"/>
        <v>0</v>
      </c>
      <c r="V116" s="169">
        <f t="shared" si="47"/>
        <v>0</v>
      </c>
      <c r="W116" s="169">
        <f t="shared" si="27"/>
        <v>0</v>
      </c>
      <c r="X116" s="169">
        <f t="shared" si="47"/>
        <v>0</v>
      </c>
      <c r="Y116" s="169">
        <f t="shared" si="47"/>
        <v>0</v>
      </c>
      <c r="Z116" s="169">
        <f t="shared" si="47"/>
        <v>0</v>
      </c>
    </row>
    <row r="117" spans="1:26" s="10" customFormat="1" x14ac:dyDescent="0.25">
      <c r="A117" s="134"/>
      <c r="B117" s="179"/>
      <c r="C117" s="171" t="s">
        <v>148</v>
      </c>
      <c r="D117" s="175"/>
      <c r="E117" s="175"/>
      <c r="F117" s="175"/>
      <c r="G117" s="175"/>
      <c r="H117" s="175"/>
      <c r="I117" s="175"/>
      <c r="J117" s="175"/>
      <c r="K117" s="175"/>
      <c r="L117" s="176"/>
      <c r="M117" s="177"/>
      <c r="N117" s="178"/>
      <c r="O117" s="178"/>
      <c r="P117" s="178"/>
      <c r="Q117" s="178"/>
      <c r="R117" s="177"/>
      <c r="S117" s="178"/>
      <c r="T117" s="178"/>
      <c r="U117" s="178"/>
      <c r="V117" s="178"/>
      <c r="W117" s="177"/>
      <c r="X117" s="153"/>
      <c r="Y117" s="153"/>
      <c r="Z117" s="153"/>
    </row>
    <row r="118" spans="1:26" s="10" customFormat="1" x14ac:dyDescent="0.25">
      <c r="A118" s="142"/>
      <c r="B118" s="179"/>
      <c r="C118" s="171" t="s">
        <v>149</v>
      </c>
      <c r="D118" s="175"/>
      <c r="E118" s="175"/>
      <c r="F118" s="175"/>
      <c r="G118" s="175"/>
      <c r="H118" s="175"/>
      <c r="I118" s="175"/>
      <c r="J118" s="175"/>
      <c r="K118" s="175"/>
      <c r="L118" s="176"/>
      <c r="M118" s="177"/>
      <c r="N118" s="178"/>
      <c r="O118" s="178"/>
      <c r="P118" s="178"/>
      <c r="Q118" s="178"/>
      <c r="R118" s="177"/>
      <c r="S118" s="178"/>
      <c r="T118" s="178"/>
      <c r="U118" s="178"/>
      <c r="V118" s="178"/>
      <c r="W118" s="177"/>
      <c r="X118" s="153"/>
      <c r="Y118" s="153"/>
      <c r="Z118" s="153"/>
    </row>
    <row r="119" spans="1:26" s="10" customFormat="1" x14ac:dyDescent="0.25">
      <c r="A119" s="134" t="s">
        <v>54</v>
      </c>
      <c r="B119" s="162"/>
      <c r="C119" s="163" t="s">
        <v>40</v>
      </c>
      <c r="D119" s="158">
        <f t="shared" ref="D119:H119" si="48">D120+D121</f>
        <v>0</v>
      </c>
      <c r="E119" s="158">
        <f t="shared" si="48"/>
        <v>0</v>
      </c>
      <c r="F119" s="158">
        <f t="shared" si="48"/>
        <v>0</v>
      </c>
      <c r="G119" s="158">
        <f t="shared" si="48"/>
        <v>0</v>
      </c>
      <c r="H119" s="158">
        <f t="shared" si="48"/>
        <v>0</v>
      </c>
      <c r="I119" s="158">
        <f t="shared" ref="I119:Z119" si="49">I120+I121</f>
        <v>0</v>
      </c>
      <c r="J119" s="158">
        <f t="shared" si="49"/>
        <v>0</v>
      </c>
      <c r="K119" s="158">
        <f t="shared" si="49"/>
        <v>0</v>
      </c>
      <c r="L119" s="159">
        <f t="shared" si="49"/>
        <v>0</v>
      </c>
      <c r="M119" s="160">
        <f t="shared" si="25"/>
        <v>0</v>
      </c>
      <c r="N119" s="160">
        <f t="shared" si="49"/>
        <v>0</v>
      </c>
      <c r="O119" s="160">
        <f t="shared" si="49"/>
        <v>0</v>
      </c>
      <c r="P119" s="160">
        <f t="shared" si="49"/>
        <v>0</v>
      </c>
      <c r="Q119" s="160">
        <f t="shared" si="49"/>
        <v>0</v>
      </c>
      <c r="R119" s="160">
        <f t="shared" si="26"/>
        <v>0</v>
      </c>
      <c r="S119" s="160">
        <f t="shared" si="49"/>
        <v>0</v>
      </c>
      <c r="T119" s="160">
        <f t="shared" si="49"/>
        <v>0</v>
      </c>
      <c r="U119" s="160">
        <f t="shared" si="49"/>
        <v>0</v>
      </c>
      <c r="V119" s="160">
        <f t="shared" si="49"/>
        <v>0</v>
      </c>
      <c r="W119" s="160">
        <f t="shared" si="27"/>
        <v>0</v>
      </c>
      <c r="X119" s="160">
        <f t="shared" si="49"/>
        <v>0</v>
      </c>
      <c r="Y119" s="160">
        <f t="shared" si="49"/>
        <v>0</v>
      </c>
      <c r="Z119" s="160">
        <f t="shared" si="49"/>
        <v>0</v>
      </c>
    </row>
    <row r="120" spans="1:26" s="10" customFormat="1" ht="16.5" customHeight="1" x14ac:dyDescent="0.25">
      <c r="A120" s="142"/>
      <c r="B120" s="180"/>
      <c r="C120" s="165" t="s">
        <v>152</v>
      </c>
      <c r="D120" s="175"/>
      <c r="E120" s="175"/>
      <c r="F120" s="175"/>
      <c r="G120" s="175"/>
      <c r="H120" s="175"/>
      <c r="I120" s="175"/>
      <c r="J120" s="175"/>
      <c r="K120" s="175"/>
      <c r="L120" s="176"/>
      <c r="M120" s="177"/>
      <c r="N120" s="178"/>
      <c r="O120" s="178"/>
      <c r="P120" s="178"/>
      <c r="Q120" s="178"/>
      <c r="R120" s="177"/>
      <c r="S120" s="178"/>
      <c r="T120" s="178"/>
      <c r="U120" s="178"/>
      <c r="V120" s="178"/>
      <c r="W120" s="177"/>
      <c r="X120" s="153"/>
      <c r="Y120" s="153"/>
      <c r="Z120" s="153"/>
    </row>
    <row r="121" spans="1:26" s="10" customFormat="1" x14ac:dyDescent="0.25">
      <c r="A121" s="134"/>
      <c r="B121" s="180"/>
      <c r="C121" s="165" t="s">
        <v>153</v>
      </c>
      <c r="D121" s="175"/>
      <c r="E121" s="175"/>
      <c r="F121" s="175"/>
      <c r="G121" s="175"/>
      <c r="H121" s="175"/>
      <c r="I121" s="175"/>
      <c r="J121" s="175"/>
      <c r="K121" s="175"/>
      <c r="L121" s="176"/>
      <c r="M121" s="177"/>
      <c r="N121" s="178"/>
      <c r="O121" s="178"/>
      <c r="P121" s="178"/>
      <c r="Q121" s="178"/>
      <c r="R121" s="177"/>
      <c r="S121" s="178"/>
      <c r="T121" s="178"/>
      <c r="U121" s="178"/>
      <c r="V121" s="178"/>
      <c r="W121" s="177"/>
      <c r="X121" s="153"/>
      <c r="Y121" s="153"/>
      <c r="Z121" s="153"/>
    </row>
    <row r="122" spans="1:26" s="10" customFormat="1" x14ac:dyDescent="0.25">
      <c r="A122" s="134"/>
      <c r="B122" s="182"/>
      <c r="C122" s="183" t="s">
        <v>154</v>
      </c>
      <c r="D122" s="167"/>
      <c r="E122" s="167">
        <v>1750</v>
      </c>
      <c r="F122" s="167">
        <f>H122+M122+R122+W122</f>
        <v>3870.4</v>
      </c>
      <c r="G122" s="167">
        <f t="shared" ref="G122:H122" si="50">SUM(G123:G140)</f>
        <v>0</v>
      </c>
      <c r="H122" s="167">
        <f t="shared" si="50"/>
        <v>0</v>
      </c>
      <c r="I122" s="167">
        <f t="shared" ref="I122:Z122" si="51">SUM(I123:I140)</f>
        <v>0</v>
      </c>
      <c r="J122" s="167">
        <f t="shared" si="51"/>
        <v>0</v>
      </c>
      <c r="K122" s="167">
        <f t="shared" si="51"/>
        <v>0</v>
      </c>
      <c r="L122" s="168">
        <f t="shared" si="51"/>
        <v>0</v>
      </c>
      <c r="M122" s="169">
        <f t="shared" si="25"/>
        <v>0</v>
      </c>
      <c r="N122" s="169">
        <f t="shared" si="51"/>
        <v>0</v>
      </c>
      <c r="O122" s="169">
        <f t="shared" si="51"/>
        <v>0</v>
      </c>
      <c r="P122" s="169">
        <f t="shared" si="51"/>
        <v>0</v>
      </c>
      <c r="Q122" s="169">
        <f t="shared" si="51"/>
        <v>0</v>
      </c>
      <c r="R122" s="169">
        <f t="shared" si="26"/>
        <v>0</v>
      </c>
      <c r="S122" s="169">
        <f t="shared" si="51"/>
        <v>0</v>
      </c>
      <c r="T122" s="169">
        <f t="shared" si="51"/>
        <v>0</v>
      </c>
      <c r="U122" s="169">
        <f t="shared" si="51"/>
        <v>0</v>
      </c>
      <c r="V122" s="169">
        <f t="shared" si="51"/>
        <v>0</v>
      </c>
      <c r="W122" s="169">
        <f t="shared" si="27"/>
        <v>3870.4</v>
      </c>
      <c r="X122" s="169">
        <f t="shared" si="51"/>
        <v>0</v>
      </c>
      <c r="Y122" s="169">
        <f t="shared" si="51"/>
        <v>944</v>
      </c>
      <c r="Z122" s="169">
        <f t="shared" si="51"/>
        <v>2926.4</v>
      </c>
    </row>
    <row r="123" spans="1:26" s="10" customFormat="1" ht="54" x14ac:dyDescent="0.25">
      <c r="A123" s="142"/>
      <c r="B123" s="172"/>
      <c r="C123" s="173" t="s">
        <v>155</v>
      </c>
      <c r="D123" s="175"/>
      <c r="E123" s="175"/>
      <c r="F123" s="175"/>
      <c r="G123" s="175"/>
      <c r="H123" s="175"/>
      <c r="I123" s="175"/>
      <c r="J123" s="175"/>
      <c r="K123" s="175"/>
      <c r="L123" s="176"/>
      <c r="M123" s="177"/>
      <c r="N123" s="178"/>
      <c r="O123" s="178"/>
      <c r="P123" s="178"/>
      <c r="Q123" s="178"/>
      <c r="R123" s="177"/>
      <c r="S123" s="178"/>
      <c r="T123" s="178"/>
      <c r="U123" s="178"/>
      <c r="V123" s="178"/>
      <c r="W123" s="177"/>
      <c r="X123" s="153"/>
      <c r="Y123" s="153"/>
      <c r="Z123" s="153"/>
    </row>
    <row r="124" spans="1:26" s="10" customFormat="1" x14ac:dyDescent="0.25">
      <c r="A124" s="142"/>
      <c r="B124" s="172"/>
      <c r="C124" s="173" t="s">
        <v>156</v>
      </c>
      <c r="D124" s="175"/>
      <c r="E124" s="175"/>
      <c r="F124" s="175"/>
      <c r="G124" s="175"/>
      <c r="H124" s="175"/>
      <c r="I124" s="175"/>
      <c r="J124" s="175"/>
      <c r="K124" s="175"/>
      <c r="L124" s="176"/>
      <c r="M124" s="177"/>
      <c r="N124" s="178"/>
      <c r="O124" s="178"/>
      <c r="P124" s="178"/>
      <c r="Q124" s="178"/>
      <c r="R124" s="177"/>
      <c r="S124" s="178"/>
      <c r="T124" s="178"/>
      <c r="U124" s="178"/>
      <c r="V124" s="178"/>
      <c r="W124" s="177"/>
      <c r="X124" s="153"/>
      <c r="Y124" s="153"/>
      <c r="Z124" s="153"/>
    </row>
    <row r="125" spans="1:26" s="10" customFormat="1" x14ac:dyDescent="0.25">
      <c r="A125" s="142"/>
      <c r="B125" s="172"/>
      <c r="C125" s="173" t="s">
        <v>157</v>
      </c>
      <c r="D125" s="175"/>
      <c r="E125" s="175"/>
      <c r="F125" s="175"/>
      <c r="G125" s="175"/>
      <c r="H125" s="175"/>
      <c r="I125" s="175"/>
      <c r="J125" s="175"/>
      <c r="K125" s="175"/>
      <c r="L125" s="176"/>
      <c r="M125" s="177"/>
      <c r="N125" s="178"/>
      <c r="O125" s="178"/>
      <c r="P125" s="178"/>
      <c r="Q125" s="178"/>
      <c r="R125" s="177"/>
      <c r="S125" s="178"/>
      <c r="T125" s="178"/>
      <c r="U125" s="178"/>
      <c r="V125" s="178"/>
      <c r="W125" s="177"/>
      <c r="X125" s="153"/>
      <c r="Y125" s="153"/>
      <c r="Z125" s="153"/>
    </row>
    <row r="126" spans="1:26" s="10" customFormat="1" x14ac:dyDescent="0.25">
      <c r="A126" s="142"/>
      <c r="B126" s="172"/>
      <c r="C126" s="173" t="s">
        <v>158</v>
      </c>
      <c r="D126" s="175"/>
      <c r="E126" s="175"/>
      <c r="F126" s="175"/>
      <c r="G126" s="175"/>
      <c r="H126" s="175"/>
      <c r="I126" s="175"/>
      <c r="J126" s="175"/>
      <c r="K126" s="175"/>
      <c r="L126" s="176"/>
      <c r="M126" s="177"/>
      <c r="N126" s="178"/>
      <c r="O126" s="178"/>
      <c r="P126" s="178"/>
      <c r="Q126" s="178"/>
      <c r="R126" s="177"/>
      <c r="S126" s="178"/>
      <c r="T126" s="178"/>
      <c r="U126" s="178"/>
      <c r="V126" s="178"/>
      <c r="W126" s="177"/>
      <c r="X126" s="153"/>
      <c r="Y126" s="153"/>
      <c r="Z126" s="153"/>
    </row>
    <row r="127" spans="1:26" s="10" customFormat="1" x14ac:dyDescent="0.25">
      <c r="A127" s="142"/>
      <c r="B127" s="172"/>
      <c r="C127" s="173" t="s">
        <v>159</v>
      </c>
      <c r="D127" s="175"/>
      <c r="E127" s="175"/>
      <c r="F127" s="175"/>
      <c r="G127" s="175"/>
      <c r="H127" s="175"/>
      <c r="I127" s="175"/>
      <c r="J127" s="175"/>
      <c r="K127" s="175"/>
      <c r="L127" s="176"/>
      <c r="M127" s="177"/>
      <c r="N127" s="178"/>
      <c r="O127" s="178"/>
      <c r="P127" s="178"/>
      <c r="Q127" s="178"/>
      <c r="R127" s="177"/>
      <c r="S127" s="178"/>
      <c r="T127" s="178"/>
      <c r="U127" s="178"/>
      <c r="V127" s="178"/>
      <c r="W127" s="177"/>
      <c r="X127" s="153"/>
      <c r="Y127" s="153"/>
      <c r="Z127" s="153"/>
    </row>
    <row r="128" spans="1:26" s="10" customFormat="1" x14ac:dyDescent="0.25">
      <c r="A128" s="142"/>
      <c r="B128" s="172"/>
      <c r="C128" s="173" t="s">
        <v>160</v>
      </c>
      <c r="D128" s="175"/>
      <c r="E128" s="175"/>
      <c r="F128" s="175"/>
      <c r="G128" s="175"/>
      <c r="H128" s="175"/>
      <c r="I128" s="175"/>
      <c r="J128" s="175"/>
      <c r="K128" s="175"/>
      <c r="L128" s="176"/>
      <c r="M128" s="177"/>
      <c r="N128" s="178"/>
      <c r="O128" s="178"/>
      <c r="P128" s="178"/>
      <c r="Q128" s="178"/>
      <c r="R128" s="177"/>
      <c r="S128" s="178"/>
      <c r="T128" s="178"/>
      <c r="U128" s="178"/>
      <c r="V128" s="178"/>
      <c r="W128" s="177"/>
      <c r="X128" s="153"/>
      <c r="Y128" s="153"/>
      <c r="Z128" s="153"/>
    </row>
    <row r="129" spans="1:26" s="10" customFormat="1" x14ac:dyDescent="0.25">
      <c r="A129" s="142"/>
      <c r="B129" s="172"/>
      <c r="C129" s="173" t="s">
        <v>161</v>
      </c>
      <c r="D129" s="175"/>
      <c r="E129" s="175"/>
      <c r="F129" s="175"/>
      <c r="G129" s="175"/>
      <c r="H129" s="175"/>
      <c r="I129" s="175"/>
      <c r="J129" s="175"/>
      <c r="K129" s="175"/>
      <c r="L129" s="176"/>
      <c r="M129" s="177"/>
      <c r="N129" s="178"/>
      <c r="O129" s="178"/>
      <c r="P129" s="178"/>
      <c r="Q129" s="178"/>
      <c r="R129" s="177"/>
      <c r="S129" s="178"/>
      <c r="T129" s="178"/>
      <c r="U129" s="178"/>
      <c r="V129" s="178"/>
      <c r="W129" s="177"/>
      <c r="X129" s="153"/>
      <c r="Y129" s="153"/>
      <c r="Z129" s="153"/>
    </row>
    <row r="130" spans="1:26" s="10" customFormat="1" x14ac:dyDescent="0.25">
      <c r="A130" s="142"/>
      <c r="B130" s="172"/>
      <c r="C130" s="173" t="s">
        <v>162</v>
      </c>
      <c r="D130" s="175"/>
      <c r="E130" s="175"/>
      <c r="F130" s="175"/>
      <c r="G130" s="175"/>
      <c r="H130" s="175"/>
      <c r="I130" s="175"/>
      <c r="J130" s="175"/>
      <c r="K130" s="175"/>
      <c r="L130" s="176"/>
      <c r="M130" s="177"/>
      <c r="N130" s="178"/>
      <c r="O130" s="178"/>
      <c r="P130" s="178"/>
      <c r="Q130" s="178"/>
      <c r="R130" s="177"/>
      <c r="S130" s="178"/>
      <c r="T130" s="178"/>
      <c r="U130" s="178"/>
      <c r="V130" s="178"/>
      <c r="W130" s="177"/>
      <c r="X130" s="153"/>
      <c r="Y130" s="153"/>
      <c r="Z130" s="153"/>
    </row>
    <row r="131" spans="1:26" s="10" customFormat="1" x14ac:dyDescent="0.25">
      <c r="A131" s="142"/>
      <c r="B131" s="172"/>
      <c r="C131" s="173" t="s">
        <v>163</v>
      </c>
      <c r="D131" s="175"/>
      <c r="E131" s="175"/>
      <c r="F131" s="175"/>
      <c r="G131" s="175"/>
      <c r="H131" s="175"/>
      <c r="I131" s="175"/>
      <c r="J131" s="175"/>
      <c r="K131" s="175"/>
      <c r="L131" s="176"/>
      <c r="M131" s="177"/>
      <c r="N131" s="178"/>
      <c r="O131" s="178"/>
      <c r="P131" s="178"/>
      <c r="Q131" s="178"/>
      <c r="R131" s="177"/>
      <c r="S131" s="178"/>
      <c r="T131" s="178"/>
      <c r="U131" s="178"/>
      <c r="V131" s="178"/>
      <c r="W131" s="177"/>
      <c r="X131" s="153"/>
      <c r="Y131" s="153"/>
      <c r="Z131" s="153"/>
    </row>
    <row r="132" spans="1:26" s="10" customFormat="1" x14ac:dyDescent="0.25">
      <c r="A132" s="142"/>
      <c r="B132" s="172"/>
      <c r="C132" s="173" t="s">
        <v>164</v>
      </c>
      <c r="D132" s="175"/>
      <c r="E132" s="175"/>
      <c r="F132" s="175"/>
      <c r="G132" s="175"/>
      <c r="H132" s="175"/>
      <c r="I132" s="175"/>
      <c r="J132" s="175"/>
      <c r="K132" s="175"/>
      <c r="L132" s="176"/>
      <c r="M132" s="177"/>
      <c r="N132" s="178"/>
      <c r="O132" s="178"/>
      <c r="P132" s="178"/>
      <c r="Q132" s="178"/>
      <c r="R132" s="177"/>
      <c r="S132" s="178"/>
      <c r="T132" s="178"/>
      <c r="U132" s="178"/>
      <c r="V132" s="178"/>
      <c r="W132" s="177"/>
      <c r="X132" s="153"/>
      <c r="Y132" s="153"/>
      <c r="Z132" s="153"/>
    </row>
    <row r="133" spans="1:26" s="10" customFormat="1" ht="18.75" customHeight="1" x14ac:dyDescent="0.25">
      <c r="A133" s="142"/>
      <c r="B133" s="172"/>
      <c r="C133" s="173" t="s">
        <v>165</v>
      </c>
      <c r="D133" s="175"/>
      <c r="E133" s="175"/>
      <c r="F133" s="175"/>
      <c r="G133" s="175"/>
      <c r="H133" s="175"/>
      <c r="I133" s="175"/>
      <c r="J133" s="175"/>
      <c r="K133" s="175"/>
      <c r="L133" s="176"/>
      <c r="M133" s="177"/>
      <c r="N133" s="178"/>
      <c r="O133" s="178"/>
      <c r="P133" s="178"/>
      <c r="Q133" s="178"/>
      <c r="R133" s="177"/>
      <c r="S133" s="178"/>
      <c r="T133" s="178"/>
      <c r="U133" s="178"/>
      <c r="V133" s="178"/>
      <c r="W133" s="177"/>
      <c r="X133" s="153"/>
      <c r="Y133" s="153"/>
      <c r="Z133" s="153"/>
    </row>
    <row r="134" spans="1:26" s="10" customFormat="1" ht="36" x14ac:dyDescent="0.25">
      <c r="A134" s="142"/>
      <c r="B134" s="172"/>
      <c r="C134" s="173" t="s">
        <v>166</v>
      </c>
      <c r="D134" s="175"/>
      <c r="E134" s="175"/>
      <c r="F134" s="175"/>
      <c r="G134" s="175"/>
      <c r="H134" s="175"/>
      <c r="I134" s="175"/>
      <c r="J134" s="175"/>
      <c r="K134" s="175"/>
      <c r="L134" s="176"/>
      <c r="M134" s="177"/>
      <c r="N134" s="178"/>
      <c r="O134" s="178"/>
      <c r="P134" s="178"/>
      <c r="Q134" s="178"/>
      <c r="R134" s="177"/>
      <c r="S134" s="178"/>
      <c r="T134" s="178"/>
      <c r="U134" s="178"/>
      <c r="V134" s="178"/>
      <c r="W134" s="177"/>
      <c r="X134" s="153"/>
      <c r="Y134" s="153"/>
      <c r="Z134" s="153"/>
    </row>
    <row r="135" spans="1:26" s="10" customFormat="1" ht="36" x14ac:dyDescent="0.25">
      <c r="A135" s="142"/>
      <c r="B135" s="172"/>
      <c r="C135" s="173" t="s">
        <v>167</v>
      </c>
      <c r="D135" s="175"/>
      <c r="E135" s="175"/>
      <c r="F135" s="175"/>
      <c r="G135" s="175"/>
      <c r="H135" s="175"/>
      <c r="I135" s="175"/>
      <c r="J135" s="175"/>
      <c r="K135" s="175"/>
      <c r="L135" s="176"/>
      <c r="M135" s="177"/>
      <c r="N135" s="178"/>
      <c r="O135" s="178"/>
      <c r="P135" s="178"/>
      <c r="Q135" s="178"/>
      <c r="R135" s="177"/>
      <c r="S135" s="178"/>
      <c r="T135" s="178"/>
      <c r="U135" s="178"/>
      <c r="V135" s="178"/>
      <c r="W135" s="177"/>
      <c r="X135" s="153"/>
      <c r="Y135" s="153"/>
      <c r="Z135" s="153"/>
    </row>
    <row r="136" spans="1:26" s="10" customFormat="1" ht="36" x14ac:dyDescent="0.25">
      <c r="A136" s="142"/>
      <c r="B136" s="172"/>
      <c r="C136" s="173" t="s">
        <v>168</v>
      </c>
      <c r="D136" s="175"/>
      <c r="E136" s="175"/>
      <c r="F136" s="175"/>
      <c r="G136" s="175"/>
      <c r="H136" s="175"/>
      <c r="I136" s="175"/>
      <c r="J136" s="175"/>
      <c r="K136" s="175"/>
      <c r="L136" s="176"/>
      <c r="M136" s="177"/>
      <c r="N136" s="178"/>
      <c r="O136" s="178"/>
      <c r="P136" s="178"/>
      <c r="Q136" s="178"/>
      <c r="R136" s="177"/>
      <c r="S136" s="178"/>
      <c r="T136" s="178"/>
      <c r="U136" s="178"/>
      <c r="V136" s="178"/>
      <c r="W136" s="177"/>
      <c r="X136" s="153"/>
      <c r="Y136" s="153"/>
      <c r="Z136" s="153"/>
    </row>
    <row r="137" spans="1:26" s="10" customFormat="1" ht="39.75" customHeight="1" x14ac:dyDescent="0.25">
      <c r="A137" s="142"/>
      <c r="B137" s="172"/>
      <c r="C137" s="173" t="s">
        <v>169</v>
      </c>
      <c r="D137" s="175"/>
      <c r="E137" s="175"/>
      <c r="F137" s="175"/>
      <c r="G137" s="175"/>
      <c r="H137" s="175"/>
      <c r="I137" s="175"/>
      <c r="J137" s="175"/>
      <c r="K137" s="175"/>
      <c r="L137" s="176"/>
      <c r="M137" s="177"/>
      <c r="N137" s="178"/>
      <c r="O137" s="178"/>
      <c r="P137" s="178"/>
      <c r="Q137" s="178"/>
      <c r="R137" s="177"/>
      <c r="S137" s="178"/>
      <c r="T137" s="178"/>
      <c r="U137" s="178"/>
      <c r="V137" s="178"/>
      <c r="W137" s="177"/>
      <c r="X137" s="153"/>
      <c r="Y137" s="153"/>
      <c r="Z137" s="153"/>
    </row>
    <row r="138" spans="1:26" s="10" customFormat="1" x14ac:dyDescent="0.25">
      <c r="A138" s="142"/>
      <c r="B138" s="172"/>
      <c r="C138" s="173" t="s">
        <v>170</v>
      </c>
      <c r="D138" s="175"/>
      <c r="E138" s="175"/>
      <c r="F138" s="175"/>
      <c r="G138" s="175"/>
      <c r="H138" s="175"/>
      <c r="I138" s="175"/>
      <c r="J138" s="175"/>
      <c r="K138" s="175"/>
      <c r="L138" s="176"/>
      <c r="M138" s="177"/>
      <c r="N138" s="178"/>
      <c r="O138" s="178"/>
      <c r="P138" s="178"/>
      <c r="Q138" s="178"/>
      <c r="R138" s="177"/>
      <c r="S138" s="178"/>
      <c r="T138" s="178"/>
      <c r="U138" s="178"/>
      <c r="V138" s="178"/>
      <c r="W138" s="177"/>
      <c r="X138" s="153"/>
      <c r="Y138" s="153"/>
      <c r="Z138" s="153"/>
    </row>
    <row r="139" spans="1:26" s="10" customFormat="1" x14ac:dyDescent="0.25">
      <c r="A139" s="142"/>
      <c r="B139" s="172"/>
      <c r="C139" s="173" t="s">
        <v>171</v>
      </c>
      <c r="D139" s="175"/>
      <c r="E139" s="175"/>
      <c r="F139" s="175"/>
      <c r="G139" s="175"/>
      <c r="H139" s="175"/>
      <c r="I139" s="175"/>
      <c r="J139" s="175"/>
      <c r="K139" s="175"/>
      <c r="L139" s="176"/>
      <c r="M139" s="177"/>
      <c r="N139" s="178"/>
      <c r="O139" s="178"/>
      <c r="P139" s="178"/>
      <c r="Q139" s="178"/>
      <c r="R139" s="177"/>
      <c r="S139" s="178"/>
      <c r="T139" s="178"/>
      <c r="U139" s="178"/>
      <c r="V139" s="178"/>
      <c r="W139" s="177"/>
      <c r="X139" s="153"/>
      <c r="Y139" s="153"/>
      <c r="Z139" s="153"/>
    </row>
    <row r="140" spans="1:26" s="10" customFormat="1" ht="36" x14ac:dyDescent="0.25">
      <c r="A140" s="134"/>
      <c r="B140" s="172"/>
      <c r="C140" s="173" t="s">
        <v>172</v>
      </c>
      <c r="D140" s="175"/>
      <c r="E140" s="175"/>
      <c r="F140" s="175"/>
      <c r="G140" s="175"/>
      <c r="H140" s="175"/>
      <c r="I140" s="175"/>
      <c r="J140" s="175"/>
      <c r="K140" s="175"/>
      <c r="L140" s="176"/>
      <c r="M140" s="177"/>
      <c r="N140" s="178"/>
      <c r="O140" s="178"/>
      <c r="P140" s="178"/>
      <c r="Q140" s="178"/>
      <c r="R140" s="177"/>
      <c r="S140" s="178"/>
      <c r="T140" s="178"/>
      <c r="U140" s="178"/>
      <c r="V140" s="178"/>
      <c r="W140" s="177"/>
      <c r="X140" s="153"/>
      <c r="Y140" s="153">
        <v>944</v>
      </c>
      <c r="Z140" s="153">
        <v>2926.4</v>
      </c>
    </row>
    <row r="141" spans="1:26" s="10" customFormat="1" x14ac:dyDescent="0.25">
      <c r="A141" s="142"/>
      <c r="B141" s="179"/>
      <c r="C141" s="171" t="s">
        <v>173</v>
      </c>
      <c r="D141" s="175"/>
      <c r="E141" s="175"/>
      <c r="F141" s="175"/>
      <c r="G141" s="175"/>
      <c r="H141" s="175"/>
      <c r="I141" s="175"/>
      <c r="J141" s="175"/>
      <c r="K141" s="175"/>
      <c r="L141" s="176"/>
      <c r="M141" s="177"/>
      <c r="N141" s="178"/>
      <c r="O141" s="178"/>
      <c r="P141" s="178"/>
      <c r="Q141" s="178"/>
      <c r="R141" s="177"/>
      <c r="S141" s="178"/>
      <c r="T141" s="178"/>
      <c r="U141" s="178"/>
      <c r="V141" s="178"/>
      <c r="W141" s="177"/>
      <c r="X141" s="153"/>
      <c r="Y141" s="153"/>
      <c r="Z141" s="153"/>
    </row>
    <row r="142" spans="1:26" s="10" customFormat="1" x14ac:dyDescent="0.25">
      <c r="A142" s="134" t="s">
        <v>54</v>
      </c>
      <c r="B142" s="184"/>
      <c r="C142" s="185" t="s">
        <v>41</v>
      </c>
      <c r="D142" s="158">
        <f t="shared" ref="D142:H142" si="52">D143+D190+D197+D198</f>
        <v>0</v>
      </c>
      <c r="E142" s="158">
        <f t="shared" si="52"/>
        <v>0</v>
      </c>
      <c r="F142" s="158">
        <f t="shared" si="52"/>
        <v>0</v>
      </c>
      <c r="G142" s="158">
        <f t="shared" si="52"/>
        <v>0</v>
      </c>
      <c r="H142" s="158">
        <f t="shared" si="52"/>
        <v>0</v>
      </c>
      <c r="I142" s="158">
        <f t="shared" ref="I142:Z142" si="53">I143+I190+I197+I198</f>
        <v>0</v>
      </c>
      <c r="J142" s="158">
        <f t="shared" si="53"/>
        <v>0</v>
      </c>
      <c r="K142" s="158">
        <f t="shared" si="53"/>
        <v>0</v>
      </c>
      <c r="L142" s="159">
        <f t="shared" si="53"/>
        <v>0</v>
      </c>
      <c r="M142" s="160">
        <f t="shared" ref="M142:M198" si="54">N142+O142+P142</f>
        <v>0</v>
      </c>
      <c r="N142" s="160">
        <f t="shared" si="53"/>
        <v>0</v>
      </c>
      <c r="O142" s="160">
        <f t="shared" si="53"/>
        <v>0</v>
      </c>
      <c r="P142" s="160">
        <f t="shared" si="53"/>
        <v>0</v>
      </c>
      <c r="Q142" s="160">
        <f t="shared" si="53"/>
        <v>0</v>
      </c>
      <c r="R142" s="160">
        <f t="shared" ref="R142:R198" si="55">S142+T142+U142</f>
        <v>0</v>
      </c>
      <c r="S142" s="160">
        <f t="shared" si="53"/>
        <v>0</v>
      </c>
      <c r="T142" s="160">
        <f t="shared" si="53"/>
        <v>0</v>
      </c>
      <c r="U142" s="160">
        <f t="shared" si="53"/>
        <v>0</v>
      </c>
      <c r="V142" s="160">
        <f t="shared" si="53"/>
        <v>0</v>
      </c>
      <c r="W142" s="160">
        <f t="shared" ref="W142:W198" si="56">X142+Y142+Z142</f>
        <v>0</v>
      </c>
      <c r="X142" s="160">
        <f t="shared" si="53"/>
        <v>0</v>
      </c>
      <c r="Y142" s="160">
        <f t="shared" si="53"/>
        <v>0</v>
      </c>
      <c r="Z142" s="160">
        <f t="shared" si="53"/>
        <v>0</v>
      </c>
    </row>
    <row r="143" spans="1:26" s="10" customFormat="1" x14ac:dyDescent="0.25">
      <c r="A143" s="134"/>
      <c r="B143" s="186"/>
      <c r="C143" s="187" t="s">
        <v>174</v>
      </c>
      <c r="D143" s="167">
        <f t="shared" ref="D143:H143" si="57">D144+D156+D185</f>
        <v>0</v>
      </c>
      <c r="E143" s="167">
        <f t="shared" si="57"/>
        <v>0</v>
      </c>
      <c r="F143" s="167">
        <f t="shared" si="57"/>
        <v>0</v>
      </c>
      <c r="G143" s="167">
        <f t="shared" si="57"/>
        <v>0</v>
      </c>
      <c r="H143" s="167">
        <f t="shared" si="57"/>
        <v>0</v>
      </c>
      <c r="I143" s="167">
        <f t="shared" ref="I143:Z143" si="58">I144+I156+I185</f>
        <v>0</v>
      </c>
      <c r="J143" s="167">
        <f t="shared" si="58"/>
        <v>0</v>
      </c>
      <c r="K143" s="167">
        <f t="shared" si="58"/>
        <v>0</v>
      </c>
      <c r="L143" s="168">
        <f t="shared" si="58"/>
        <v>0</v>
      </c>
      <c r="M143" s="169">
        <f t="shared" si="54"/>
        <v>0</v>
      </c>
      <c r="N143" s="169">
        <f t="shared" si="58"/>
        <v>0</v>
      </c>
      <c r="O143" s="169">
        <f t="shared" si="58"/>
        <v>0</v>
      </c>
      <c r="P143" s="169">
        <f t="shared" si="58"/>
        <v>0</v>
      </c>
      <c r="Q143" s="169">
        <f t="shared" si="58"/>
        <v>0</v>
      </c>
      <c r="R143" s="169">
        <f t="shared" si="55"/>
        <v>0</v>
      </c>
      <c r="S143" s="169">
        <f t="shared" si="58"/>
        <v>0</v>
      </c>
      <c r="T143" s="169">
        <f t="shared" si="58"/>
        <v>0</v>
      </c>
      <c r="U143" s="169">
        <f t="shared" si="58"/>
        <v>0</v>
      </c>
      <c r="V143" s="169">
        <f t="shared" si="58"/>
        <v>0</v>
      </c>
      <c r="W143" s="169">
        <f t="shared" si="56"/>
        <v>0</v>
      </c>
      <c r="X143" s="169">
        <f t="shared" si="58"/>
        <v>0</v>
      </c>
      <c r="Y143" s="169">
        <f t="shared" si="58"/>
        <v>0</v>
      </c>
      <c r="Z143" s="169">
        <f t="shared" si="58"/>
        <v>0</v>
      </c>
    </row>
    <row r="144" spans="1:26" s="10" customFormat="1" x14ac:dyDescent="0.25">
      <c r="A144" s="142"/>
      <c r="B144" s="164"/>
      <c r="C144" s="165" t="s">
        <v>175</v>
      </c>
      <c r="D144" s="167">
        <f t="shared" ref="D144:H144" si="59">SUM(D145:D155)</f>
        <v>0</v>
      </c>
      <c r="E144" s="167">
        <f t="shared" si="59"/>
        <v>0</v>
      </c>
      <c r="F144" s="167">
        <f t="shared" si="59"/>
        <v>0</v>
      </c>
      <c r="G144" s="167">
        <f t="shared" si="59"/>
        <v>0</v>
      </c>
      <c r="H144" s="167">
        <f t="shared" si="59"/>
        <v>0</v>
      </c>
      <c r="I144" s="167">
        <f t="shared" ref="I144:Z144" si="60">SUM(I145:I155)</f>
        <v>0</v>
      </c>
      <c r="J144" s="167">
        <f t="shared" si="60"/>
        <v>0</v>
      </c>
      <c r="K144" s="167">
        <f t="shared" si="60"/>
        <v>0</v>
      </c>
      <c r="L144" s="168">
        <f t="shared" si="60"/>
        <v>0</v>
      </c>
      <c r="M144" s="169">
        <f t="shared" si="54"/>
        <v>0</v>
      </c>
      <c r="N144" s="169">
        <f t="shared" si="60"/>
        <v>0</v>
      </c>
      <c r="O144" s="169">
        <f t="shared" si="60"/>
        <v>0</v>
      </c>
      <c r="P144" s="169">
        <f t="shared" si="60"/>
        <v>0</v>
      </c>
      <c r="Q144" s="169">
        <f t="shared" si="60"/>
        <v>0</v>
      </c>
      <c r="R144" s="169">
        <f t="shared" si="55"/>
        <v>0</v>
      </c>
      <c r="S144" s="169">
        <f t="shared" si="60"/>
        <v>0</v>
      </c>
      <c r="T144" s="169">
        <f t="shared" si="60"/>
        <v>0</v>
      </c>
      <c r="U144" s="169">
        <f t="shared" si="60"/>
        <v>0</v>
      </c>
      <c r="V144" s="169">
        <f t="shared" si="60"/>
        <v>0</v>
      </c>
      <c r="W144" s="169">
        <f t="shared" si="56"/>
        <v>0</v>
      </c>
      <c r="X144" s="169">
        <f t="shared" si="60"/>
        <v>0</v>
      </c>
      <c r="Y144" s="169">
        <f t="shared" si="60"/>
        <v>0</v>
      </c>
      <c r="Z144" s="169">
        <f t="shared" si="60"/>
        <v>0</v>
      </c>
    </row>
    <row r="145" spans="1:26" s="10" customFormat="1" x14ac:dyDescent="0.25">
      <c r="A145" s="142"/>
      <c r="B145" s="179"/>
      <c r="C145" s="171" t="s">
        <v>176</v>
      </c>
      <c r="D145" s="175"/>
      <c r="E145" s="175"/>
      <c r="F145" s="175"/>
      <c r="G145" s="175"/>
      <c r="H145" s="175"/>
      <c r="I145" s="175"/>
      <c r="J145" s="175"/>
      <c r="K145" s="175"/>
      <c r="L145" s="176"/>
      <c r="M145" s="177"/>
      <c r="N145" s="178"/>
      <c r="O145" s="178"/>
      <c r="P145" s="178"/>
      <c r="Q145" s="178"/>
      <c r="R145" s="177"/>
      <c r="S145" s="178"/>
      <c r="T145" s="178"/>
      <c r="U145" s="178"/>
      <c r="V145" s="178"/>
      <c r="W145" s="177"/>
      <c r="X145" s="153"/>
      <c r="Y145" s="153"/>
      <c r="Z145" s="153"/>
    </row>
    <row r="146" spans="1:26" s="10" customFormat="1" x14ac:dyDescent="0.25">
      <c r="A146" s="142"/>
      <c r="B146" s="179"/>
      <c r="C146" s="171" t="s">
        <v>177</v>
      </c>
      <c r="D146" s="175"/>
      <c r="E146" s="175"/>
      <c r="F146" s="175"/>
      <c r="G146" s="175"/>
      <c r="H146" s="175"/>
      <c r="I146" s="175"/>
      <c r="J146" s="175"/>
      <c r="K146" s="175"/>
      <c r="L146" s="176"/>
      <c r="M146" s="177"/>
      <c r="N146" s="178"/>
      <c r="O146" s="178"/>
      <c r="P146" s="178"/>
      <c r="Q146" s="178"/>
      <c r="R146" s="177"/>
      <c r="S146" s="178"/>
      <c r="T146" s="178"/>
      <c r="U146" s="178"/>
      <c r="V146" s="178"/>
      <c r="W146" s="177"/>
      <c r="X146" s="153"/>
      <c r="Y146" s="153"/>
      <c r="Z146" s="153"/>
    </row>
    <row r="147" spans="1:26" s="10" customFormat="1" x14ac:dyDescent="0.25">
      <c r="A147" s="142"/>
      <c r="B147" s="179"/>
      <c r="C147" s="171" t="s">
        <v>178</v>
      </c>
      <c r="D147" s="175"/>
      <c r="E147" s="175"/>
      <c r="F147" s="175"/>
      <c r="G147" s="175"/>
      <c r="H147" s="175"/>
      <c r="I147" s="175"/>
      <c r="J147" s="175"/>
      <c r="K147" s="175"/>
      <c r="L147" s="176"/>
      <c r="M147" s="177"/>
      <c r="N147" s="178"/>
      <c r="O147" s="178"/>
      <c r="P147" s="178"/>
      <c r="Q147" s="178"/>
      <c r="R147" s="177"/>
      <c r="S147" s="178"/>
      <c r="T147" s="178"/>
      <c r="U147" s="178"/>
      <c r="V147" s="178"/>
      <c r="W147" s="177"/>
      <c r="X147" s="153"/>
      <c r="Y147" s="153"/>
      <c r="Z147" s="153"/>
    </row>
    <row r="148" spans="1:26" s="10" customFormat="1" x14ac:dyDescent="0.25">
      <c r="A148" s="142"/>
      <c r="B148" s="179"/>
      <c r="C148" s="171" t="s">
        <v>179</v>
      </c>
      <c r="D148" s="175"/>
      <c r="E148" s="175"/>
      <c r="F148" s="175"/>
      <c r="G148" s="175"/>
      <c r="H148" s="175"/>
      <c r="I148" s="175"/>
      <c r="J148" s="175"/>
      <c r="K148" s="175"/>
      <c r="L148" s="176"/>
      <c r="M148" s="177"/>
      <c r="N148" s="178"/>
      <c r="O148" s="178"/>
      <c r="P148" s="178"/>
      <c r="Q148" s="178"/>
      <c r="R148" s="177"/>
      <c r="S148" s="178"/>
      <c r="T148" s="178"/>
      <c r="U148" s="178"/>
      <c r="V148" s="178"/>
      <c r="W148" s="177"/>
      <c r="X148" s="153"/>
      <c r="Y148" s="153"/>
      <c r="Z148" s="153"/>
    </row>
    <row r="149" spans="1:26" s="10" customFormat="1" x14ac:dyDescent="0.25">
      <c r="A149" s="142"/>
      <c r="B149" s="179"/>
      <c r="C149" s="171" t="s">
        <v>180</v>
      </c>
      <c r="D149" s="175"/>
      <c r="E149" s="175"/>
      <c r="F149" s="175"/>
      <c r="G149" s="175"/>
      <c r="H149" s="175"/>
      <c r="I149" s="175"/>
      <c r="J149" s="175"/>
      <c r="K149" s="175"/>
      <c r="L149" s="176"/>
      <c r="M149" s="177"/>
      <c r="N149" s="178"/>
      <c r="O149" s="178"/>
      <c r="P149" s="178"/>
      <c r="Q149" s="178"/>
      <c r="R149" s="177"/>
      <c r="S149" s="178"/>
      <c r="T149" s="178"/>
      <c r="U149" s="178"/>
      <c r="V149" s="178"/>
      <c r="W149" s="177"/>
      <c r="X149" s="153"/>
      <c r="Y149" s="153"/>
      <c r="Z149" s="153"/>
    </row>
    <row r="150" spans="1:26" s="10" customFormat="1" x14ac:dyDescent="0.25">
      <c r="A150" s="142"/>
      <c r="B150" s="179"/>
      <c r="C150" s="171" t="s">
        <v>181</v>
      </c>
      <c r="D150" s="175"/>
      <c r="E150" s="175"/>
      <c r="F150" s="175"/>
      <c r="G150" s="175"/>
      <c r="H150" s="175"/>
      <c r="I150" s="175"/>
      <c r="J150" s="175"/>
      <c r="K150" s="175"/>
      <c r="L150" s="176"/>
      <c r="M150" s="177"/>
      <c r="N150" s="178"/>
      <c r="O150" s="178"/>
      <c r="P150" s="178"/>
      <c r="Q150" s="178"/>
      <c r="R150" s="177"/>
      <c r="S150" s="178"/>
      <c r="T150" s="178"/>
      <c r="U150" s="178"/>
      <c r="V150" s="178"/>
      <c r="W150" s="177"/>
      <c r="X150" s="153"/>
      <c r="Y150" s="153"/>
      <c r="Z150" s="153"/>
    </row>
    <row r="151" spans="1:26" s="10" customFormat="1" x14ac:dyDescent="0.25">
      <c r="A151" s="142"/>
      <c r="B151" s="179"/>
      <c r="C151" s="171" t="s">
        <v>182</v>
      </c>
      <c r="D151" s="175"/>
      <c r="E151" s="175"/>
      <c r="F151" s="175"/>
      <c r="G151" s="175"/>
      <c r="H151" s="175"/>
      <c r="I151" s="175"/>
      <c r="J151" s="175"/>
      <c r="K151" s="175"/>
      <c r="L151" s="176"/>
      <c r="M151" s="177"/>
      <c r="N151" s="178"/>
      <c r="O151" s="178"/>
      <c r="P151" s="178"/>
      <c r="Q151" s="178"/>
      <c r="R151" s="177"/>
      <c r="S151" s="178"/>
      <c r="T151" s="178"/>
      <c r="U151" s="178"/>
      <c r="V151" s="178"/>
      <c r="W151" s="177"/>
      <c r="X151" s="153"/>
      <c r="Y151" s="153"/>
      <c r="Z151" s="153"/>
    </row>
    <row r="152" spans="1:26" s="10" customFormat="1" ht="21.75" customHeight="1" x14ac:dyDescent="0.25">
      <c r="A152" s="142"/>
      <c r="B152" s="179"/>
      <c r="C152" s="171" t="s">
        <v>183</v>
      </c>
      <c r="D152" s="175"/>
      <c r="E152" s="175"/>
      <c r="F152" s="175"/>
      <c r="G152" s="175"/>
      <c r="H152" s="175"/>
      <c r="I152" s="175"/>
      <c r="J152" s="175"/>
      <c r="K152" s="175"/>
      <c r="L152" s="176"/>
      <c r="M152" s="177"/>
      <c r="N152" s="178"/>
      <c r="O152" s="178"/>
      <c r="P152" s="178"/>
      <c r="Q152" s="178"/>
      <c r="R152" s="177"/>
      <c r="S152" s="178"/>
      <c r="T152" s="178"/>
      <c r="U152" s="178"/>
      <c r="V152" s="178"/>
      <c r="W152" s="177"/>
      <c r="X152" s="153"/>
      <c r="Y152" s="153"/>
      <c r="Z152" s="153"/>
    </row>
    <row r="153" spans="1:26" s="10" customFormat="1" x14ac:dyDescent="0.25">
      <c r="A153" s="142"/>
      <c r="B153" s="179"/>
      <c r="C153" s="171" t="s">
        <v>184</v>
      </c>
      <c r="D153" s="175"/>
      <c r="E153" s="175"/>
      <c r="F153" s="175"/>
      <c r="G153" s="175"/>
      <c r="H153" s="175"/>
      <c r="I153" s="175"/>
      <c r="J153" s="175"/>
      <c r="K153" s="175"/>
      <c r="L153" s="176"/>
      <c r="M153" s="177"/>
      <c r="N153" s="178"/>
      <c r="O153" s="178"/>
      <c r="P153" s="178"/>
      <c r="Q153" s="178"/>
      <c r="R153" s="177"/>
      <c r="S153" s="178"/>
      <c r="T153" s="178"/>
      <c r="U153" s="178"/>
      <c r="V153" s="178"/>
      <c r="W153" s="177"/>
      <c r="X153" s="153"/>
      <c r="Y153" s="153"/>
      <c r="Z153" s="153"/>
    </row>
    <row r="154" spans="1:26" s="10" customFormat="1" x14ac:dyDescent="0.25">
      <c r="A154" s="142"/>
      <c r="B154" s="179"/>
      <c r="C154" s="171" t="s">
        <v>185</v>
      </c>
      <c r="D154" s="175"/>
      <c r="E154" s="175"/>
      <c r="F154" s="175"/>
      <c r="G154" s="175"/>
      <c r="H154" s="175"/>
      <c r="I154" s="175"/>
      <c r="J154" s="175"/>
      <c r="K154" s="175"/>
      <c r="L154" s="176"/>
      <c r="M154" s="177"/>
      <c r="N154" s="178"/>
      <c r="O154" s="178"/>
      <c r="P154" s="178"/>
      <c r="Q154" s="178"/>
      <c r="R154" s="177"/>
      <c r="S154" s="178"/>
      <c r="T154" s="178"/>
      <c r="U154" s="178"/>
      <c r="V154" s="178"/>
      <c r="W154" s="177"/>
      <c r="X154" s="153"/>
      <c r="Y154" s="153"/>
      <c r="Z154" s="153"/>
    </row>
    <row r="155" spans="1:26" s="10" customFormat="1" x14ac:dyDescent="0.25">
      <c r="A155" s="142"/>
      <c r="B155" s="179"/>
      <c r="C155" s="171" t="s">
        <v>186</v>
      </c>
      <c r="D155" s="175"/>
      <c r="E155" s="175"/>
      <c r="F155" s="175"/>
      <c r="G155" s="175"/>
      <c r="H155" s="175"/>
      <c r="I155" s="175"/>
      <c r="J155" s="175"/>
      <c r="K155" s="175"/>
      <c r="L155" s="176"/>
      <c r="M155" s="177"/>
      <c r="N155" s="178"/>
      <c r="O155" s="178"/>
      <c r="P155" s="178"/>
      <c r="Q155" s="178"/>
      <c r="R155" s="177"/>
      <c r="S155" s="178"/>
      <c r="T155" s="178"/>
      <c r="U155" s="178"/>
      <c r="V155" s="178"/>
      <c r="W155" s="177"/>
      <c r="X155" s="153"/>
      <c r="Y155" s="153"/>
      <c r="Z155" s="153"/>
    </row>
    <row r="156" spans="1:26" s="10" customFormat="1" x14ac:dyDescent="0.25">
      <c r="A156" s="134"/>
      <c r="B156" s="164"/>
      <c r="C156" s="165" t="s">
        <v>187</v>
      </c>
      <c r="D156" s="167">
        <f t="shared" ref="D156:H156" si="61">D157+D164</f>
        <v>0</v>
      </c>
      <c r="E156" s="167">
        <f t="shared" si="61"/>
        <v>0</v>
      </c>
      <c r="F156" s="167">
        <f t="shared" si="61"/>
        <v>0</v>
      </c>
      <c r="G156" s="167">
        <f t="shared" si="61"/>
        <v>0</v>
      </c>
      <c r="H156" s="167">
        <f t="shared" si="61"/>
        <v>0</v>
      </c>
      <c r="I156" s="167">
        <f t="shared" ref="I156:Z156" si="62">I157+I164</f>
        <v>0</v>
      </c>
      <c r="J156" s="167">
        <f t="shared" si="62"/>
        <v>0</v>
      </c>
      <c r="K156" s="167">
        <f t="shared" si="62"/>
        <v>0</v>
      </c>
      <c r="L156" s="168">
        <f t="shared" si="62"/>
        <v>0</v>
      </c>
      <c r="M156" s="169">
        <f t="shared" si="54"/>
        <v>0</v>
      </c>
      <c r="N156" s="169">
        <f t="shared" si="62"/>
        <v>0</v>
      </c>
      <c r="O156" s="169">
        <f t="shared" si="62"/>
        <v>0</v>
      </c>
      <c r="P156" s="169">
        <f t="shared" si="62"/>
        <v>0</v>
      </c>
      <c r="Q156" s="169">
        <f t="shared" si="62"/>
        <v>0</v>
      </c>
      <c r="R156" s="169">
        <f t="shared" si="55"/>
        <v>0</v>
      </c>
      <c r="S156" s="169">
        <f t="shared" si="62"/>
        <v>0</v>
      </c>
      <c r="T156" s="169">
        <f t="shared" si="62"/>
        <v>0</v>
      </c>
      <c r="U156" s="169">
        <f t="shared" si="62"/>
        <v>0</v>
      </c>
      <c r="V156" s="169">
        <f t="shared" si="62"/>
        <v>0</v>
      </c>
      <c r="W156" s="169">
        <f t="shared" si="56"/>
        <v>0</v>
      </c>
      <c r="X156" s="169">
        <f t="shared" si="62"/>
        <v>0</v>
      </c>
      <c r="Y156" s="169">
        <f t="shared" si="62"/>
        <v>0</v>
      </c>
      <c r="Z156" s="169">
        <f t="shared" si="62"/>
        <v>0</v>
      </c>
    </row>
    <row r="157" spans="1:26" s="10" customFormat="1" x14ac:dyDescent="0.25">
      <c r="A157" s="142"/>
      <c r="B157" s="170"/>
      <c r="C157" s="171" t="s">
        <v>188</v>
      </c>
      <c r="D157" s="167">
        <f t="shared" ref="D157:H157" si="63">SUM(D158:D163)</f>
        <v>0</v>
      </c>
      <c r="E157" s="167">
        <f t="shared" si="63"/>
        <v>0</v>
      </c>
      <c r="F157" s="167">
        <f t="shared" si="63"/>
        <v>0</v>
      </c>
      <c r="G157" s="167">
        <f t="shared" si="63"/>
        <v>0</v>
      </c>
      <c r="H157" s="167">
        <f t="shared" si="63"/>
        <v>0</v>
      </c>
      <c r="I157" s="167">
        <f t="shared" ref="I157:Z157" si="64">SUM(I158:I163)</f>
        <v>0</v>
      </c>
      <c r="J157" s="167">
        <f t="shared" si="64"/>
        <v>0</v>
      </c>
      <c r="K157" s="167">
        <f t="shared" si="64"/>
        <v>0</v>
      </c>
      <c r="L157" s="168">
        <f t="shared" si="64"/>
        <v>0</v>
      </c>
      <c r="M157" s="169">
        <f t="shared" si="54"/>
        <v>0</v>
      </c>
      <c r="N157" s="169">
        <f t="shared" si="64"/>
        <v>0</v>
      </c>
      <c r="O157" s="169">
        <f t="shared" si="64"/>
        <v>0</v>
      </c>
      <c r="P157" s="169">
        <f t="shared" si="64"/>
        <v>0</v>
      </c>
      <c r="Q157" s="169">
        <f t="shared" si="64"/>
        <v>0</v>
      </c>
      <c r="R157" s="169">
        <f t="shared" si="55"/>
        <v>0</v>
      </c>
      <c r="S157" s="169">
        <f t="shared" si="64"/>
        <v>0</v>
      </c>
      <c r="T157" s="169">
        <f t="shared" si="64"/>
        <v>0</v>
      </c>
      <c r="U157" s="169">
        <f t="shared" si="64"/>
        <v>0</v>
      </c>
      <c r="V157" s="169">
        <f t="shared" si="64"/>
        <v>0</v>
      </c>
      <c r="W157" s="169">
        <f t="shared" si="56"/>
        <v>0</v>
      </c>
      <c r="X157" s="169">
        <f t="shared" si="64"/>
        <v>0</v>
      </c>
      <c r="Y157" s="169">
        <f t="shared" si="64"/>
        <v>0</v>
      </c>
      <c r="Z157" s="169">
        <f t="shared" si="64"/>
        <v>0</v>
      </c>
    </row>
    <row r="158" spans="1:26" s="10" customFormat="1" x14ac:dyDescent="0.25">
      <c r="A158" s="142"/>
      <c r="B158" s="172"/>
      <c r="C158" s="173" t="s">
        <v>189</v>
      </c>
      <c r="D158" s="175"/>
      <c r="E158" s="175"/>
      <c r="F158" s="175"/>
      <c r="G158" s="175"/>
      <c r="H158" s="175"/>
      <c r="I158" s="175"/>
      <c r="J158" s="175"/>
      <c r="K158" s="175"/>
      <c r="L158" s="176"/>
      <c r="M158" s="177"/>
      <c r="N158" s="178"/>
      <c r="O158" s="178"/>
      <c r="P158" s="178"/>
      <c r="Q158" s="178"/>
      <c r="R158" s="177"/>
      <c r="S158" s="178"/>
      <c r="T158" s="178"/>
      <c r="U158" s="178"/>
      <c r="V158" s="178"/>
      <c r="W158" s="177"/>
      <c r="X158" s="153"/>
      <c r="Y158" s="153"/>
      <c r="Z158" s="153"/>
    </row>
    <row r="159" spans="1:26" s="10" customFormat="1" x14ac:dyDescent="0.25">
      <c r="A159" s="142"/>
      <c r="B159" s="172"/>
      <c r="C159" s="173" t="s">
        <v>190</v>
      </c>
      <c r="D159" s="175"/>
      <c r="E159" s="175"/>
      <c r="F159" s="175"/>
      <c r="G159" s="175"/>
      <c r="H159" s="175"/>
      <c r="I159" s="175"/>
      <c r="J159" s="175"/>
      <c r="K159" s="175"/>
      <c r="L159" s="176"/>
      <c r="M159" s="177"/>
      <c r="N159" s="178"/>
      <c r="O159" s="178"/>
      <c r="P159" s="178"/>
      <c r="Q159" s="178"/>
      <c r="R159" s="177"/>
      <c r="S159" s="178"/>
      <c r="T159" s="178"/>
      <c r="U159" s="178"/>
      <c r="V159" s="178"/>
      <c r="W159" s="177"/>
      <c r="X159" s="153"/>
      <c r="Y159" s="153"/>
      <c r="Z159" s="153"/>
    </row>
    <row r="160" spans="1:26" s="10" customFormat="1" x14ac:dyDescent="0.25">
      <c r="A160" s="142"/>
      <c r="B160" s="172"/>
      <c r="C160" s="173" t="s">
        <v>191</v>
      </c>
      <c r="D160" s="175"/>
      <c r="E160" s="175"/>
      <c r="F160" s="175"/>
      <c r="G160" s="175"/>
      <c r="H160" s="175"/>
      <c r="I160" s="175"/>
      <c r="J160" s="175"/>
      <c r="K160" s="175"/>
      <c r="L160" s="176"/>
      <c r="M160" s="177"/>
      <c r="N160" s="178"/>
      <c r="O160" s="178"/>
      <c r="P160" s="178"/>
      <c r="Q160" s="178"/>
      <c r="R160" s="177"/>
      <c r="S160" s="178"/>
      <c r="T160" s="178"/>
      <c r="U160" s="178"/>
      <c r="V160" s="178"/>
      <c r="W160" s="177"/>
      <c r="X160" s="153"/>
      <c r="Y160" s="153"/>
      <c r="Z160" s="153"/>
    </row>
    <row r="161" spans="1:26" s="10" customFormat="1" ht="36" x14ac:dyDescent="0.25">
      <c r="A161" s="142"/>
      <c r="B161" s="172"/>
      <c r="C161" s="173" t="s">
        <v>192</v>
      </c>
      <c r="D161" s="175"/>
      <c r="E161" s="175"/>
      <c r="F161" s="175"/>
      <c r="G161" s="175"/>
      <c r="H161" s="175"/>
      <c r="I161" s="175"/>
      <c r="J161" s="175"/>
      <c r="K161" s="175"/>
      <c r="L161" s="176"/>
      <c r="M161" s="177"/>
      <c r="N161" s="178"/>
      <c r="O161" s="178"/>
      <c r="P161" s="178"/>
      <c r="Q161" s="178"/>
      <c r="R161" s="177"/>
      <c r="S161" s="178"/>
      <c r="T161" s="178"/>
      <c r="U161" s="178"/>
      <c r="V161" s="178"/>
      <c r="W161" s="177"/>
      <c r="X161" s="153"/>
      <c r="Y161" s="153"/>
      <c r="Z161" s="153"/>
    </row>
    <row r="162" spans="1:26" s="10" customFormat="1" ht="36" x14ac:dyDescent="0.25">
      <c r="A162" s="142"/>
      <c r="B162" s="172"/>
      <c r="C162" s="173" t="s">
        <v>193</v>
      </c>
      <c r="D162" s="175"/>
      <c r="E162" s="175"/>
      <c r="F162" s="175"/>
      <c r="G162" s="175"/>
      <c r="H162" s="175"/>
      <c r="I162" s="175"/>
      <c r="J162" s="175"/>
      <c r="K162" s="175"/>
      <c r="L162" s="176"/>
      <c r="M162" s="177"/>
      <c r="N162" s="178"/>
      <c r="O162" s="178"/>
      <c r="P162" s="178"/>
      <c r="Q162" s="178"/>
      <c r="R162" s="177"/>
      <c r="S162" s="178"/>
      <c r="T162" s="178"/>
      <c r="U162" s="178"/>
      <c r="V162" s="178"/>
      <c r="W162" s="177"/>
      <c r="X162" s="153"/>
      <c r="Y162" s="153"/>
      <c r="Z162" s="153"/>
    </row>
    <row r="163" spans="1:26" s="10" customFormat="1" x14ac:dyDescent="0.25">
      <c r="A163" s="142"/>
      <c r="B163" s="188"/>
      <c r="C163" s="183" t="s">
        <v>194</v>
      </c>
      <c r="D163" s="175"/>
      <c r="E163" s="175"/>
      <c r="F163" s="175"/>
      <c r="G163" s="175"/>
      <c r="H163" s="175"/>
      <c r="I163" s="175"/>
      <c r="J163" s="175"/>
      <c r="K163" s="175"/>
      <c r="L163" s="176"/>
      <c r="M163" s="177"/>
      <c r="N163" s="178"/>
      <c r="O163" s="178"/>
      <c r="P163" s="178"/>
      <c r="Q163" s="178"/>
      <c r="R163" s="177"/>
      <c r="S163" s="178"/>
      <c r="T163" s="178"/>
      <c r="U163" s="178"/>
      <c r="V163" s="178"/>
      <c r="W163" s="177"/>
      <c r="X163" s="153"/>
      <c r="Y163" s="153"/>
      <c r="Z163" s="153"/>
    </row>
    <row r="164" spans="1:26" s="10" customFormat="1" x14ac:dyDescent="0.25">
      <c r="A164" s="134"/>
      <c r="B164" s="170"/>
      <c r="C164" s="171" t="s">
        <v>195</v>
      </c>
      <c r="D164" s="167">
        <f t="shared" ref="D164:H164" si="65">SUM(D165:D184)</f>
        <v>0</v>
      </c>
      <c r="E164" s="167">
        <f t="shared" si="65"/>
        <v>0</v>
      </c>
      <c r="F164" s="167">
        <f t="shared" si="65"/>
        <v>0</v>
      </c>
      <c r="G164" s="167">
        <f t="shared" si="65"/>
        <v>0</v>
      </c>
      <c r="H164" s="167">
        <f t="shared" si="65"/>
        <v>0</v>
      </c>
      <c r="I164" s="167">
        <f t="shared" ref="I164:Z164" si="66">SUM(I165:I184)</f>
        <v>0</v>
      </c>
      <c r="J164" s="167">
        <f t="shared" si="66"/>
        <v>0</v>
      </c>
      <c r="K164" s="167">
        <f t="shared" si="66"/>
        <v>0</v>
      </c>
      <c r="L164" s="168">
        <f t="shared" si="66"/>
        <v>0</v>
      </c>
      <c r="M164" s="169">
        <f t="shared" si="54"/>
        <v>0</v>
      </c>
      <c r="N164" s="169">
        <f t="shared" si="66"/>
        <v>0</v>
      </c>
      <c r="O164" s="169">
        <f t="shared" si="66"/>
        <v>0</v>
      </c>
      <c r="P164" s="169">
        <f t="shared" si="66"/>
        <v>0</v>
      </c>
      <c r="Q164" s="169">
        <f t="shared" si="66"/>
        <v>0</v>
      </c>
      <c r="R164" s="169">
        <f t="shared" si="55"/>
        <v>0</v>
      </c>
      <c r="S164" s="169">
        <f t="shared" si="66"/>
        <v>0</v>
      </c>
      <c r="T164" s="169">
        <f t="shared" si="66"/>
        <v>0</v>
      </c>
      <c r="U164" s="169">
        <f t="shared" si="66"/>
        <v>0</v>
      </c>
      <c r="V164" s="169">
        <f t="shared" si="66"/>
        <v>0</v>
      </c>
      <c r="W164" s="169">
        <f t="shared" si="56"/>
        <v>0</v>
      </c>
      <c r="X164" s="169">
        <f t="shared" si="66"/>
        <v>0</v>
      </c>
      <c r="Y164" s="169">
        <f t="shared" si="66"/>
        <v>0</v>
      </c>
      <c r="Z164" s="169">
        <f t="shared" si="66"/>
        <v>0</v>
      </c>
    </row>
    <row r="165" spans="1:26" s="10" customFormat="1" x14ac:dyDescent="0.25">
      <c r="A165" s="142"/>
      <c r="B165" s="189"/>
      <c r="C165" s="190" t="s">
        <v>77</v>
      </c>
      <c r="D165" s="175"/>
      <c r="E165" s="175"/>
      <c r="F165" s="175"/>
      <c r="G165" s="175"/>
      <c r="H165" s="175"/>
      <c r="I165" s="175"/>
      <c r="J165" s="175"/>
      <c r="K165" s="175"/>
      <c r="L165" s="176"/>
      <c r="M165" s="177"/>
      <c r="N165" s="178"/>
      <c r="O165" s="178"/>
      <c r="P165" s="178"/>
      <c r="Q165" s="178"/>
      <c r="R165" s="177"/>
      <c r="S165" s="178"/>
      <c r="T165" s="178"/>
      <c r="U165" s="178"/>
      <c r="V165" s="178"/>
      <c r="W165" s="177"/>
      <c r="X165" s="153"/>
      <c r="Y165" s="153"/>
      <c r="Z165" s="153"/>
    </row>
    <row r="166" spans="1:26" s="10" customFormat="1" x14ac:dyDescent="0.25">
      <c r="A166" s="134"/>
      <c r="B166" s="189"/>
      <c r="C166" s="190" t="s">
        <v>78</v>
      </c>
      <c r="D166" s="175"/>
      <c r="E166" s="175"/>
      <c r="F166" s="175"/>
      <c r="G166" s="175"/>
      <c r="H166" s="175"/>
      <c r="I166" s="175"/>
      <c r="J166" s="175"/>
      <c r="K166" s="175"/>
      <c r="L166" s="176"/>
      <c r="M166" s="177"/>
      <c r="N166" s="178"/>
      <c r="O166" s="178"/>
      <c r="P166" s="178"/>
      <c r="Q166" s="178"/>
      <c r="R166" s="177"/>
      <c r="S166" s="178"/>
      <c r="T166" s="178"/>
      <c r="U166" s="178"/>
      <c r="V166" s="178"/>
      <c r="W166" s="177"/>
      <c r="X166" s="153"/>
      <c r="Y166" s="153"/>
      <c r="Z166" s="153"/>
    </row>
    <row r="167" spans="1:26" s="10" customFormat="1" x14ac:dyDescent="0.25">
      <c r="A167" s="134"/>
      <c r="B167" s="189"/>
      <c r="C167" s="190" t="s">
        <v>196</v>
      </c>
      <c r="D167" s="175"/>
      <c r="E167" s="175"/>
      <c r="F167" s="175"/>
      <c r="G167" s="175"/>
      <c r="H167" s="175"/>
      <c r="I167" s="175"/>
      <c r="J167" s="175"/>
      <c r="K167" s="175"/>
      <c r="L167" s="176"/>
      <c r="M167" s="177"/>
      <c r="N167" s="178"/>
      <c r="O167" s="178"/>
      <c r="P167" s="178"/>
      <c r="Q167" s="178"/>
      <c r="R167" s="177"/>
      <c r="S167" s="178"/>
      <c r="T167" s="178"/>
      <c r="U167" s="178"/>
      <c r="V167" s="178"/>
      <c r="W167" s="177"/>
      <c r="X167" s="153"/>
      <c r="Y167" s="153"/>
      <c r="Z167" s="153"/>
    </row>
    <row r="168" spans="1:26" s="10" customFormat="1" x14ac:dyDescent="0.25">
      <c r="A168" s="134"/>
      <c r="B168" s="189"/>
      <c r="C168" s="190" t="s">
        <v>83</v>
      </c>
      <c r="D168" s="175"/>
      <c r="E168" s="175"/>
      <c r="F168" s="175"/>
      <c r="G168" s="175"/>
      <c r="H168" s="175"/>
      <c r="I168" s="175"/>
      <c r="J168" s="175"/>
      <c r="K168" s="175"/>
      <c r="L168" s="176"/>
      <c r="M168" s="177"/>
      <c r="N168" s="178"/>
      <c r="O168" s="178"/>
      <c r="P168" s="178"/>
      <c r="Q168" s="178"/>
      <c r="R168" s="177"/>
      <c r="S168" s="178"/>
      <c r="T168" s="178"/>
      <c r="U168" s="178"/>
      <c r="V168" s="178"/>
      <c r="W168" s="177"/>
      <c r="X168" s="153"/>
      <c r="Y168" s="153"/>
      <c r="Z168" s="153"/>
    </row>
    <row r="169" spans="1:26" s="10" customFormat="1" x14ac:dyDescent="0.25">
      <c r="A169" s="142"/>
      <c r="B169" s="189"/>
      <c r="C169" s="190" t="s">
        <v>197</v>
      </c>
      <c r="D169" s="175"/>
      <c r="E169" s="175"/>
      <c r="F169" s="175"/>
      <c r="G169" s="175"/>
      <c r="H169" s="175"/>
      <c r="I169" s="175"/>
      <c r="J169" s="175"/>
      <c r="K169" s="175"/>
      <c r="L169" s="176"/>
      <c r="M169" s="177"/>
      <c r="N169" s="178"/>
      <c r="O169" s="178"/>
      <c r="P169" s="178"/>
      <c r="Q169" s="178"/>
      <c r="R169" s="177"/>
      <c r="S169" s="178"/>
      <c r="T169" s="178"/>
      <c r="U169" s="178"/>
      <c r="V169" s="178"/>
      <c r="W169" s="177"/>
      <c r="X169" s="153"/>
      <c r="Y169" s="153"/>
      <c r="Z169" s="153"/>
    </row>
    <row r="170" spans="1:26" s="10" customFormat="1" x14ac:dyDescent="0.25">
      <c r="A170" s="142"/>
      <c r="B170" s="189"/>
      <c r="C170" s="190" t="s">
        <v>198</v>
      </c>
      <c r="D170" s="175"/>
      <c r="E170" s="175"/>
      <c r="F170" s="175"/>
      <c r="G170" s="175"/>
      <c r="H170" s="175"/>
      <c r="I170" s="175"/>
      <c r="J170" s="175"/>
      <c r="K170" s="175"/>
      <c r="L170" s="176"/>
      <c r="M170" s="177"/>
      <c r="N170" s="178"/>
      <c r="O170" s="178"/>
      <c r="P170" s="178"/>
      <c r="Q170" s="178"/>
      <c r="R170" s="177"/>
      <c r="S170" s="178"/>
      <c r="T170" s="178"/>
      <c r="U170" s="178"/>
      <c r="V170" s="178"/>
      <c r="W170" s="177"/>
      <c r="X170" s="153"/>
      <c r="Y170" s="153"/>
      <c r="Z170" s="153"/>
    </row>
    <row r="171" spans="1:26" s="10" customFormat="1" x14ac:dyDescent="0.25">
      <c r="A171" s="142"/>
      <c r="B171" s="189"/>
      <c r="C171" s="190" t="s">
        <v>199</v>
      </c>
      <c r="D171" s="175"/>
      <c r="E171" s="175"/>
      <c r="F171" s="175"/>
      <c r="G171" s="175"/>
      <c r="H171" s="175"/>
      <c r="I171" s="175"/>
      <c r="J171" s="175"/>
      <c r="K171" s="175"/>
      <c r="L171" s="176"/>
      <c r="M171" s="177"/>
      <c r="N171" s="178"/>
      <c r="O171" s="178"/>
      <c r="P171" s="178"/>
      <c r="Q171" s="178"/>
      <c r="R171" s="177"/>
      <c r="S171" s="178"/>
      <c r="T171" s="178"/>
      <c r="U171" s="178"/>
      <c r="V171" s="178"/>
      <c r="W171" s="177"/>
      <c r="X171" s="153"/>
      <c r="Y171" s="153"/>
      <c r="Z171" s="153"/>
    </row>
    <row r="172" spans="1:26" s="10" customFormat="1" x14ac:dyDescent="0.25">
      <c r="A172" s="142"/>
      <c r="B172" s="189"/>
      <c r="C172" s="190" t="s">
        <v>200</v>
      </c>
      <c r="D172" s="175"/>
      <c r="E172" s="175"/>
      <c r="F172" s="175"/>
      <c r="G172" s="175"/>
      <c r="H172" s="175"/>
      <c r="I172" s="175"/>
      <c r="J172" s="175"/>
      <c r="K172" s="175"/>
      <c r="L172" s="176"/>
      <c r="M172" s="177"/>
      <c r="N172" s="178"/>
      <c r="O172" s="178"/>
      <c r="P172" s="178"/>
      <c r="Q172" s="178"/>
      <c r="R172" s="177"/>
      <c r="S172" s="178"/>
      <c r="T172" s="178"/>
      <c r="U172" s="178"/>
      <c r="V172" s="178"/>
      <c r="W172" s="177"/>
      <c r="X172" s="153"/>
      <c r="Y172" s="153"/>
      <c r="Z172" s="153"/>
    </row>
    <row r="173" spans="1:26" s="10" customFormat="1" x14ac:dyDescent="0.25">
      <c r="A173" s="142"/>
      <c r="B173" s="189"/>
      <c r="C173" s="190" t="s">
        <v>201</v>
      </c>
      <c r="D173" s="175"/>
      <c r="E173" s="175"/>
      <c r="F173" s="175"/>
      <c r="G173" s="175"/>
      <c r="H173" s="175"/>
      <c r="I173" s="175"/>
      <c r="J173" s="175"/>
      <c r="K173" s="175"/>
      <c r="L173" s="176"/>
      <c r="M173" s="177"/>
      <c r="N173" s="178"/>
      <c r="O173" s="178"/>
      <c r="P173" s="178"/>
      <c r="Q173" s="178"/>
      <c r="R173" s="177"/>
      <c r="S173" s="178"/>
      <c r="T173" s="178"/>
      <c r="U173" s="178"/>
      <c r="V173" s="178"/>
      <c r="W173" s="177"/>
      <c r="X173" s="153"/>
      <c r="Y173" s="153"/>
      <c r="Z173" s="153"/>
    </row>
    <row r="174" spans="1:26" s="10" customFormat="1" x14ac:dyDescent="0.25">
      <c r="A174" s="142"/>
      <c r="B174" s="189"/>
      <c r="C174" s="190" t="s">
        <v>84</v>
      </c>
      <c r="D174" s="175"/>
      <c r="E174" s="175"/>
      <c r="F174" s="175"/>
      <c r="G174" s="175"/>
      <c r="H174" s="175"/>
      <c r="I174" s="175"/>
      <c r="J174" s="175"/>
      <c r="K174" s="175"/>
      <c r="L174" s="176"/>
      <c r="M174" s="177"/>
      <c r="N174" s="178"/>
      <c r="O174" s="178"/>
      <c r="P174" s="178"/>
      <c r="Q174" s="178"/>
      <c r="R174" s="177"/>
      <c r="S174" s="178"/>
      <c r="T174" s="178"/>
      <c r="U174" s="178"/>
      <c r="V174" s="178"/>
      <c r="W174" s="177"/>
      <c r="X174" s="153"/>
      <c r="Y174" s="153"/>
      <c r="Z174" s="153"/>
    </row>
    <row r="175" spans="1:26" s="10" customFormat="1" x14ac:dyDescent="0.25">
      <c r="A175" s="142"/>
      <c r="B175" s="189"/>
      <c r="C175" s="190" t="s">
        <v>202</v>
      </c>
      <c r="D175" s="175"/>
      <c r="E175" s="175"/>
      <c r="F175" s="175"/>
      <c r="G175" s="175"/>
      <c r="H175" s="175"/>
      <c r="I175" s="175"/>
      <c r="J175" s="175"/>
      <c r="K175" s="175"/>
      <c r="L175" s="176"/>
      <c r="M175" s="177"/>
      <c r="N175" s="178"/>
      <c r="O175" s="178"/>
      <c r="P175" s="178"/>
      <c r="Q175" s="178"/>
      <c r="R175" s="177"/>
      <c r="S175" s="178"/>
      <c r="T175" s="178"/>
      <c r="U175" s="178"/>
      <c r="V175" s="178"/>
      <c r="W175" s="177"/>
      <c r="X175" s="153"/>
      <c r="Y175" s="153"/>
      <c r="Z175" s="153"/>
    </row>
    <row r="176" spans="1:26" s="10" customFormat="1" x14ac:dyDescent="0.25">
      <c r="A176" s="142"/>
      <c r="B176" s="189"/>
      <c r="C176" s="190" t="s">
        <v>203</v>
      </c>
      <c r="D176" s="175"/>
      <c r="E176" s="175"/>
      <c r="F176" s="175"/>
      <c r="G176" s="175"/>
      <c r="H176" s="175"/>
      <c r="I176" s="175"/>
      <c r="J176" s="175"/>
      <c r="K176" s="175"/>
      <c r="L176" s="176"/>
      <c r="M176" s="177"/>
      <c r="N176" s="178"/>
      <c r="O176" s="178"/>
      <c r="P176" s="178"/>
      <c r="Q176" s="178"/>
      <c r="R176" s="177"/>
      <c r="S176" s="178"/>
      <c r="T176" s="178"/>
      <c r="U176" s="178"/>
      <c r="V176" s="178"/>
      <c r="W176" s="177"/>
      <c r="X176" s="153"/>
      <c r="Y176" s="153"/>
      <c r="Z176" s="153"/>
    </row>
    <row r="177" spans="1:26" s="10" customFormat="1" x14ac:dyDescent="0.25">
      <c r="A177" s="142"/>
      <c r="B177" s="189"/>
      <c r="C177" s="190" t="s">
        <v>204</v>
      </c>
      <c r="D177" s="175"/>
      <c r="E177" s="175"/>
      <c r="F177" s="175"/>
      <c r="G177" s="175"/>
      <c r="H177" s="175"/>
      <c r="I177" s="175"/>
      <c r="J177" s="175"/>
      <c r="K177" s="175"/>
      <c r="L177" s="176"/>
      <c r="M177" s="177"/>
      <c r="N177" s="178"/>
      <c r="O177" s="178"/>
      <c r="P177" s="178"/>
      <c r="Q177" s="178"/>
      <c r="R177" s="177"/>
      <c r="S177" s="178"/>
      <c r="T177" s="178"/>
      <c r="U177" s="178"/>
      <c r="V177" s="178"/>
      <c r="W177" s="177"/>
      <c r="X177" s="153"/>
      <c r="Y177" s="153"/>
      <c r="Z177" s="153"/>
    </row>
    <row r="178" spans="1:26" s="10" customFormat="1" x14ac:dyDescent="0.25">
      <c r="A178" s="134"/>
      <c r="B178" s="189"/>
      <c r="C178" s="190" t="s">
        <v>205</v>
      </c>
      <c r="D178" s="175"/>
      <c r="E178" s="175"/>
      <c r="F178" s="175"/>
      <c r="G178" s="175"/>
      <c r="H178" s="175"/>
      <c r="I178" s="175"/>
      <c r="J178" s="175"/>
      <c r="K178" s="175"/>
      <c r="L178" s="176"/>
      <c r="M178" s="177"/>
      <c r="N178" s="178"/>
      <c r="O178" s="178"/>
      <c r="P178" s="178"/>
      <c r="Q178" s="178"/>
      <c r="R178" s="177"/>
      <c r="S178" s="178"/>
      <c r="T178" s="178"/>
      <c r="U178" s="178"/>
      <c r="V178" s="178"/>
      <c r="W178" s="177"/>
      <c r="X178" s="153"/>
      <c r="Y178" s="153"/>
      <c r="Z178" s="153"/>
    </row>
    <row r="179" spans="1:26" s="10" customFormat="1" x14ac:dyDescent="0.25">
      <c r="A179" s="142"/>
      <c r="B179" s="189"/>
      <c r="C179" s="190" t="s">
        <v>90</v>
      </c>
      <c r="D179" s="175"/>
      <c r="E179" s="175"/>
      <c r="F179" s="175"/>
      <c r="G179" s="175"/>
      <c r="H179" s="175"/>
      <c r="I179" s="175"/>
      <c r="J179" s="175"/>
      <c r="K179" s="175"/>
      <c r="L179" s="176"/>
      <c r="M179" s="177"/>
      <c r="N179" s="178"/>
      <c r="O179" s="178"/>
      <c r="P179" s="178"/>
      <c r="Q179" s="178"/>
      <c r="R179" s="177"/>
      <c r="S179" s="178"/>
      <c r="T179" s="178"/>
      <c r="U179" s="178"/>
      <c r="V179" s="178"/>
      <c r="W179" s="177"/>
      <c r="X179" s="153"/>
      <c r="Y179" s="153"/>
      <c r="Z179" s="153"/>
    </row>
    <row r="180" spans="1:26" s="10" customFormat="1" x14ac:dyDescent="0.25">
      <c r="A180" s="142"/>
      <c r="B180" s="189"/>
      <c r="C180" s="190" t="s">
        <v>206</v>
      </c>
      <c r="D180" s="175"/>
      <c r="E180" s="175"/>
      <c r="F180" s="175"/>
      <c r="G180" s="175"/>
      <c r="H180" s="175"/>
      <c r="I180" s="175"/>
      <c r="J180" s="175"/>
      <c r="K180" s="175"/>
      <c r="L180" s="176"/>
      <c r="M180" s="177"/>
      <c r="N180" s="178"/>
      <c r="O180" s="178"/>
      <c r="P180" s="178"/>
      <c r="Q180" s="178"/>
      <c r="R180" s="177"/>
      <c r="S180" s="178"/>
      <c r="T180" s="178"/>
      <c r="U180" s="178"/>
      <c r="V180" s="178"/>
      <c r="W180" s="177"/>
      <c r="X180" s="153"/>
      <c r="Y180" s="153"/>
      <c r="Z180" s="153"/>
    </row>
    <row r="181" spans="1:26" s="10" customFormat="1" x14ac:dyDescent="0.25">
      <c r="A181" s="142"/>
      <c r="B181" s="189"/>
      <c r="C181" s="190" t="s">
        <v>207</v>
      </c>
      <c r="D181" s="175"/>
      <c r="E181" s="175"/>
      <c r="F181" s="175"/>
      <c r="G181" s="175"/>
      <c r="H181" s="175"/>
      <c r="I181" s="175"/>
      <c r="J181" s="175"/>
      <c r="K181" s="175"/>
      <c r="L181" s="176"/>
      <c r="M181" s="177"/>
      <c r="N181" s="178"/>
      <c r="O181" s="178"/>
      <c r="P181" s="178"/>
      <c r="Q181" s="178"/>
      <c r="R181" s="177"/>
      <c r="S181" s="178"/>
      <c r="T181" s="178"/>
      <c r="U181" s="178"/>
      <c r="V181" s="178"/>
      <c r="W181" s="177"/>
      <c r="X181" s="153"/>
      <c r="Y181" s="153"/>
      <c r="Z181" s="153"/>
    </row>
    <row r="182" spans="1:26" s="10" customFormat="1" ht="54" x14ac:dyDescent="0.25">
      <c r="A182" s="142"/>
      <c r="B182" s="189"/>
      <c r="C182" s="190" t="s">
        <v>208</v>
      </c>
      <c r="D182" s="175"/>
      <c r="E182" s="175"/>
      <c r="F182" s="175"/>
      <c r="G182" s="175"/>
      <c r="H182" s="175"/>
      <c r="I182" s="175"/>
      <c r="J182" s="175"/>
      <c r="K182" s="175"/>
      <c r="L182" s="176"/>
      <c r="M182" s="177"/>
      <c r="N182" s="178"/>
      <c r="O182" s="178"/>
      <c r="P182" s="178"/>
      <c r="Q182" s="178"/>
      <c r="R182" s="177"/>
      <c r="S182" s="178"/>
      <c r="T182" s="178"/>
      <c r="U182" s="178"/>
      <c r="V182" s="178"/>
      <c r="W182" s="177"/>
      <c r="X182" s="153"/>
      <c r="Y182" s="153"/>
      <c r="Z182" s="153"/>
    </row>
    <row r="183" spans="1:26" s="10" customFormat="1" x14ac:dyDescent="0.25">
      <c r="A183" s="142"/>
      <c r="B183" s="189"/>
      <c r="C183" s="190" t="s">
        <v>209</v>
      </c>
      <c r="D183" s="175"/>
      <c r="E183" s="175"/>
      <c r="F183" s="175"/>
      <c r="G183" s="175"/>
      <c r="H183" s="175"/>
      <c r="I183" s="175"/>
      <c r="J183" s="175"/>
      <c r="K183" s="175"/>
      <c r="L183" s="176"/>
      <c r="M183" s="177"/>
      <c r="N183" s="178"/>
      <c r="O183" s="178"/>
      <c r="P183" s="178"/>
      <c r="Q183" s="178"/>
      <c r="R183" s="177"/>
      <c r="S183" s="178"/>
      <c r="T183" s="178"/>
      <c r="U183" s="178"/>
      <c r="V183" s="178"/>
      <c r="W183" s="177"/>
      <c r="X183" s="153"/>
      <c r="Y183" s="153"/>
      <c r="Z183" s="153"/>
    </row>
    <row r="184" spans="1:26" s="10" customFormat="1" ht="36" x14ac:dyDescent="0.25">
      <c r="A184" s="142"/>
      <c r="B184" s="189"/>
      <c r="C184" s="190" t="s">
        <v>210</v>
      </c>
      <c r="D184" s="175"/>
      <c r="E184" s="175"/>
      <c r="F184" s="175"/>
      <c r="G184" s="175"/>
      <c r="H184" s="175"/>
      <c r="I184" s="175"/>
      <c r="J184" s="175"/>
      <c r="K184" s="175"/>
      <c r="L184" s="176"/>
      <c r="M184" s="177"/>
      <c r="N184" s="178"/>
      <c r="O184" s="178"/>
      <c r="P184" s="178"/>
      <c r="Q184" s="178"/>
      <c r="R184" s="177"/>
      <c r="S184" s="178"/>
      <c r="T184" s="178"/>
      <c r="U184" s="178"/>
      <c r="V184" s="178"/>
      <c r="W184" s="177"/>
      <c r="X184" s="153"/>
      <c r="Y184" s="153"/>
      <c r="Z184" s="153"/>
    </row>
    <row r="185" spans="1:26" s="10" customFormat="1" x14ac:dyDescent="0.25">
      <c r="A185" s="142"/>
      <c r="B185" s="164"/>
      <c r="C185" s="165" t="s">
        <v>211</v>
      </c>
      <c r="D185" s="167">
        <f t="shared" ref="D185:H185" si="67">D186+D187</f>
        <v>0</v>
      </c>
      <c r="E185" s="167">
        <f t="shared" si="67"/>
        <v>0</v>
      </c>
      <c r="F185" s="167">
        <f t="shared" si="67"/>
        <v>0</v>
      </c>
      <c r="G185" s="167">
        <f t="shared" si="67"/>
        <v>0</v>
      </c>
      <c r="H185" s="167">
        <f t="shared" si="67"/>
        <v>0</v>
      </c>
      <c r="I185" s="167">
        <f t="shared" ref="I185:Z185" si="68">I186+I187</f>
        <v>0</v>
      </c>
      <c r="J185" s="167">
        <f t="shared" si="68"/>
        <v>0</v>
      </c>
      <c r="K185" s="167">
        <f t="shared" si="68"/>
        <v>0</v>
      </c>
      <c r="L185" s="168">
        <f t="shared" si="68"/>
        <v>0</v>
      </c>
      <c r="M185" s="169">
        <f t="shared" si="54"/>
        <v>0</v>
      </c>
      <c r="N185" s="169">
        <f t="shared" si="68"/>
        <v>0</v>
      </c>
      <c r="O185" s="169">
        <f t="shared" si="68"/>
        <v>0</v>
      </c>
      <c r="P185" s="169">
        <f t="shared" si="68"/>
        <v>0</v>
      </c>
      <c r="Q185" s="169">
        <f t="shared" si="68"/>
        <v>0</v>
      </c>
      <c r="R185" s="169">
        <f t="shared" si="55"/>
        <v>0</v>
      </c>
      <c r="S185" s="169">
        <f t="shared" si="68"/>
        <v>0</v>
      </c>
      <c r="T185" s="169">
        <f t="shared" si="68"/>
        <v>0</v>
      </c>
      <c r="U185" s="169">
        <f t="shared" si="68"/>
        <v>0</v>
      </c>
      <c r="V185" s="169">
        <f t="shared" si="68"/>
        <v>0</v>
      </c>
      <c r="W185" s="169">
        <f t="shared" si="56"/>
        <v>0</v>
      </c>
      <c r="X185" s="169">
        <f t="shared" si="68"/>
        <v>0</v>
      </c>
      <c r="Y185" s="169">
        <f t="shared" si="68"/>
        <v>0</v>
      </c>
      <c r="Z185" s="169">
        <f t="shared" si="68"/>
        <v>0</v>
      </c>
    </row>
    <row r="186" spans="1:26" s="10" customFormat="1" x14ac:dyDescent="0.25">
      <c r="A186" s="142"/>
      <c r="B186" s="179"/>
      <c r="C186" s="171" t="s">
        <v>212</v>
      </c>
      <c r="D186" s="175"/>
      <c r="E186" s="175"/>
      <c r="F186" s="175"/>
      <c r="G186" s="175"/>
      <c r="H186" s="175"/>
      <c r="I186" s="175"/>
      <c r="J186" s="175"/>
      <c r="K186" s="175"/>
      <c r="L186" s="176"/>
      <c r="M186" s="177"/>
      <c r="N186" s="178"/>
      <c r="O186" s="178"/>
      <c r="P186" s="178"/>
      <c r="Q186" s="178"/>
      <c r="R186" s="177"/>
      <c r="S186" s="178"/>
      <c r="T186" s="178"/>
      <c r="U186" s="178"/>
      <c r="V186" s="178"/>
      <c r="W186" s="177"/>
      <c r="X186" s="153"/>
      <c r="Y186" s="153"/>
      <c r="Z186" s="153"/>
    </row>
    <row r="187" spans="1:26" s="10" customFormat="1" x14ac:dyDescent="0.25">
      <c r="A187" s="142"/>
      <c r="B187" s="170"/>
      <c r="C187" s="171" t="s">
        <v>213</v>
      </c>
      <c r="D187" s="167">
        <f t="shared" ref="D187:H187" si="69">SUM(D188:D189)</f>
        <v>0</v>
      </c>
      <c r="E187" s="167">
        <f t="shared" si="69"/>
        <v>0</v>
      </c>
      <c r="F187" s="167">
        <f t="shared" si="69"/>
        <v>0</v>
      </c>
      <c r="G187" s="167">
        <f t="shared" si="69"/>
        <v>0</v>
      </c>
      <c r="H187" s="167">
        <f t="shared" si="69"/>
        <v>0</v>
      </c>
      <c r="I187" s="167">
        <f t="shared" ref="I187:Z187" si="70">SUM(I188:I189)</f>
        <v>0</v>
      </c>
      <c r="J187" s="167">
        <f t="shared" si="70"/>
        <v>0</v>
      </c>
      <c r="K187" s="167">
        <f t="shared" si="70"/>
        <v>0</v>
      </c>
      <c r="L187" s="168">
        <f t="shared" si="70"/>
        <v>0</v>
      </c>
      <c r="M187" s="169">
        <f t="shared" si="54"/>
        <v>0</v>
      </c>
      <c r="N187" s="169">
        <f t="shared" si="70"/>
        <v>0</v>
      </c>
      <c r="O187" s="169">
        <f t="shared" si="70"/>
        <v>0</v>
      </c>
      <c r="P187" s="169">
        <f t="shared" si="70"/>
        <v>0</v>
      </c>
      <c r="Q187" s="169">
        <f t="shared" si="70"/>
        <v>0</v>
      </c>
      <c r="R187" s="169">
        <f t="shared" si="55"/>
        <v>0</v>
      </c>
      <c r="S187" s="169">
        <f t="shared" si="70"/>
        <v>0</v>
      </c>
      <c r="T187" s="169">
        <f t="shared" si="70"/>
        <v>0</v>
      </c>
      <c r="U187" s="169">
        <f t="shared" si="70"/>
        <v>0</v>
      </c>
      <c r="V187" s="169">
        <f t="shared" si="70"/>
        <v>0</v>
      </c>
      <c r="W187" s="169">
        <f t="shared" si="56"/>
        <v>0</v>
      </c>
      <c r="X187" s="169">
        <f t="shared" si="70"/>
        <v>0</v>
      </c>
      <c r="Y187" s="169">
        <f t="shared" si="70"/>
        <v>0</v>
      </c>
      <c r="Z187" s="169">
        <f t="shared" si="70"/>
        <v>0</v>
      </c>
    </row>
    <row r="188" spans="1:26" s="10" customFormat="1" x14ac:dyDescent="0.25">
      <c r="A188" s="142"/>
      <c r="B188" s="172"/>
      <c r="C188" s="173" t="s">
        <v>214</v>
      </c>
      <c r="D188" s="175"/>
      <c r="E188" s="175"/>
      <c r="F188" s="175"/>
      <c r="G188" s="175"/>
      <c r="H188" s="175"/>
      <c r="I188" s="175"/>
      <c r="J188" s="175"/>
      <c r="K188" s="175"/>
      <c r="L188" s="176"/>
      <c r="M188" s="177"/>
      <c r="N188" s="178"/>
      <c r="O188" s="178"/>
      <c r="P188" s="178"/>
      <c r="Q188" s="178"/>
      <c r="R188" s="177"/>
      <c r="S188" s="178"/>
      <c r="T188" s="178"/>
      <c r="U188" s="178"/>
      <c r="V188" s="178"/>
      <c r="W188" s="177"/>
      <c r="X188" s="153"/>
      <c r="Y188" s="153"/>
      <c r="Z188" s="153"/>
    </row>
    <row r="189" spans="1:26" s="10" customFormat="1" x14ac:dyDescent="0.25">
      <c r="A189" s="142"/>
      <c r="B189" s="172"/>
      <c r="C189" s="173" t="s">
        <v>215</v>
      </c>
      <c r="D189" s="175"/>
      <c r="E189" s="175"/>
      <c r="F189" s="175"/>
      <c r="G189" s="175"/>
      <c r="H189" s="175"/>
      <c r="I189" s="175"/>
      <c r="J189" s="175"/>
      <c r="K189" s="175"/>
      <c r="L189" s="176"/>
      <c r="M189" s="177"/>
      <c r="N189" s="178"/>
      <c r="O189" s="178"/>
      <c r="P189" s="178"/>
      <c r="Q189" s="178"/>
      <c r="R189" s="177"/>
      <c r="S189" s="178"/>
      <c r="T189" s="178"/>
      <c r="U189" s="178"/>
      <c r="V189" s="178"/>
      <c r="W189" s="177"/>
      <c r="X189" s="153"/>
      <c r="Y189" s="153"/>
      <c r="Z189" s="153"/>
    </row>
    <row r="190" spans="1:26" s="10" customFormat="1" x14ac:dyDescent="0.25">
      <c r="A190" s="142"/>
      <c r="B190" s="162"/>
      <c r="C190" s="163" t="s">
        <v>216</v>
      </c>
      <c r="D190" s="167">
        <f t="shared" ref="D190:H190" si="71">D191+D192</f>
        <v>0</v>
      </c>
      <c r="E190" s="167">
        <f t="shared" si="71"/>
        <v>0</v>
      </c>
      <c r="F190" s="167">
        <f t="shared" si="71"/>
        <v>0</v>
      </c>
      <c r="G190" s="167">
        <f t="shared" si="71"/>
        <v>0</v>
      </c>
      <c r="H190" s="167">
        <f t="shared" si="71"/>
        <v>0</v>
      </c>
      <c r="I190" s="167">
        <f t="shared" ref="I190:Z190" si="72">I191+I192</f>
        <v>0</v>
      </c>
      <c r="J190" s="167">
        <f t="shared" si="72"/>
        <v>0</v>
      </c>
      <c r="K190" s="167">
        <f t="shared" si="72"/>
        <v>0</v>
      </c>
      <c r="L190" s="168">
        <f t="shared" si="72"/>
        <v>0</v>
      </c>
      <c r="M190" s="169">
        <f t="shared" si="54"/>
        <v>0</v>
      </c>
      <c r="N190" s="169">
        <f t="shared" si="72"/>
        <v>0</v>
      </c>
      <c r="O190" s="169">
        <f t="shared" si="72"/>
        <v>0</v>
      </c>
      <c r="P190" s="169">
        <f t="shared" si="72"/>
        <v>0</v>
      </c>
      <c r="Q190" s="169">
        <f t="shared" si="72"/>
        <v>0</v>
      </c>
      <c r="R190" s="169">
        <f t="shared" si="55"/>
        <v>0</v>
      </c>
      <c r="S190" s="169">
        <f t="shared" si="72"/>
        <v>0</v>
      </c>
      <c r="T190" s="169">
        <f t="shared" si="72"/>
        <v>0</v>
      </c>
      <c r="U190" s="169">
        <f t="shared" si="72"/>
        <v>0</v>
      </c>
      <c r="V190" s="169">
        <f t="shared" si="72"/>
        <v>0</v>
      </c>
      <c r="W190" s="169">
        <f t="shared" si="56"/>
        <v>0</v>
      </c>
      <c r="X190" s="169">
        <f t="shared" si="72"/>
        <v>0</v>
      </c>
      <c r="Y190" s="169">
        <f t="shared" si="72"/>
        <v>0</v>
      </c>
      <c r="Z190" s="169">
        <f t="shared" si="72"/>
        <v>0</v>
      </c>
    </row>
    <row r="191" spans="1:26" s="10" customFormat="1" x14ac:dyDescent="0.25">
      <c r="A191" s="142"/>
      <c r="B191" s="180"/>
      <c r="C191" s="165" t="s">
        <v>217</v>
      </c>
      <c r="D191" s="175"/>
      <c r="E191" s="175"/>
      <c r="F191" s="175"/>
      <c r="G191" s="175"/>
      <c r="H191" s="175"/>
      <c r="I191" s="175"/>
      <c r="J191" s="175"/>
      <c r="K191" s="175"/>
      <c r="L191" s="176"/>
      <c r="M191" s="177"/>
      <c r="N191" s="178"/>
      <c r="O191" s="178"/>
      <c r="P191" s="178"/>
      <c r="Q191" s="178"/>
      <c r="R191" s="177"/>
      <c r="S191" s="178"/>
      <c r="T191" s="178"/>
      <c r="U191" s="178"/>
      <c r="V191" s="178"/>
      <c r="W191" s="177"/>
      <c r="X191" s="153"/>
      <c r="Y191" s="153"/>
      <c r="Z191" s="153"/>
    </row>
    <row r="192" spans="1:26" s="10" customFormat="1" x14ac:dyDescent="0.25">
      <c r="A192" s="142"/>
      <c r="B192" s="164"/>
      <c r="C192" s="165" t="s">
        <v>218</v>
      </c>
      <c r="D192" s="167">
        <f t="shared" ref="D192:H192" si="73">SUM(D193:D196)</f>
        <v>0</v>
      </c>
      <c r="E192" s="167">
        <f t="shared" si="73"/>
        <v>0</v>
      </c>
      <c r="F192" s="167">
        <f t="shared" si="73"/>
        <v>0</v>
      </c>
      <c r="G192" s="167">
        <f t="shared" si="73"/>
        <v>0</v>
      </c>
      <c r="H192" s="167">
        <f t="shared" si="73"/>
        <v>0</v>
      </c>
      <c r="I192" s="167">
        <f t="shared" ref="I192:Z192" si="74">SUM(I193:I196)</f>
        <v>0</v>
      </c>
      <c r="J192" s="167">
        <f t="shared" si="74"/>
        <v>0</v>
      </c>
      <c r="K192" s="167">
        <f t="shared" si="74"/>
        <v>0</v>
      </c>
      <c r="L192" s="168">
        <f t="shared" si="74"/>
        <v>0</v>
      </c>
      <c r="M192" s="169">
        <f t="shared" si="54"/>
        <v>0</v>
      </c>
      <c r="N192" s="169">
        <f t="shared" si="74"/>
        <v>0</v>
      </c>
      <c r="O192" s="169">
        <f t="shared" si="74"/>
        <v>0</v>
      </c>
      <c r="P192" s="169">
        <f t="shared" si="74"/>
        <v>0</v>
      </c>
      <c r="Q192" s="169">
        <f t="shared" si="74"/>
        <v>0</v>
      </c>
      <c r="R192" s="169">
        <f t="shared" si="55"/>
        <v>0</v>
      </c>
      <c r="S192" s="169">
        <f t="shared" si="74"/>
        <v>0</v>
      </c>
      <c r="T192" s="169">
        <f t="shared" si="74"/>
        <v>0</v>
      </c>
      <c r="U192" s="169">
        <f t="shared" si="74"/>
        <v>0</v>
      </c>
      <c r="V192" s="169">
        <f t="shared" si="74"/>
        <v>0</v>
      </c>
      <c r="W192" s="169">
        <f t="shared" si="56"/>
        <v>0</v>
      </c>
      <c r="X192" s="169">
        <f t="shared" si="74"/>
        <v>0</v>
      </c>
      <c r="Y192" s="169">
        <f t="shared" si="74"/>
        <v>0</v>
      </c>
      <c r="Z192" s="169">
        <f t="shared" si="74"/>
        <v>0</v>
      </c>
    </row>
    <row r="193" spans="1:26" s="10" customFormat="1" x14ac:dyDescent="0.25">
      <c r="A193" s="142"/>
      <c r="B193" s="179"/>
      <c r="C193" s="171" t="s">
        <v>219</v>
      </c>
      <c r="D193" s="175"/>
      <c r="E193" s="175"/>
      <c r="F193" s="175"/>
      <c r="G193" s="175"/>
      <c r="H193" s="175"/>
      <c r="I193" s="175"/>
      <c r="J193" s="175"/>
      <c r="K193" s="175"/>
      <c r="L193" s="176"/>
      <c r="M193" s="177"/>
      <c r="N193" s="178"/>
      <c r="O193" s="178"/>
      <c r="P193" s="178"/>
      <c r="Q193" s="178"/>
      <c r="R193" s="177"/>
      <c r="S193" s="178"/>
      <c r="T193" s="178"/>
      <c r="U193" s="178"/>
      <c r="V193" s="178"/>
      <c r="W193" s="177"/>
      <c r="X193" s="153"/>
      <c r="Y193" s="153"/>
      <c r="Z193" s="153"/>
    </row>
    <row r="194" spans="1:26" s="10" customFormat="1" x14ac:dyDescent="0.25">
      <c r="A194" s="142"/>
      <c r="B194" s="179"/>
      <c r="C194" s="171" t="s">
        <v>220</v>
      </c>
      <c r="D194" s="175"/>
      <c r="E194" s="175"/>
      <c r="F194" s="175"/>
      <c r="G194" s="175"/>
      <c r="H194" s="175"/>
      <c r="I194" s="175"/>
      <c r="J194" s="175"/>
      <c r="K194" s="175"/>
      <c r="L194" s="176"/>
      <c r="M194" s="177"/>
      <c r="N194" s="178"/>
      <c r="O194" s="178"/>
      <c r="P194" s="178"/>
      <c r="Q194" s="178"/>
      <c r="R194" s="177"/>
      <c r="S194" s="178"/>
      <c r="T194" s="178"/>
      <c r="U194" s="178"/>
      <c r="V194" s="178"/>
      <c r="W194" s="177"/>
      <c r="X194" s="153"/>
      <c r="Y194" s="153"/>
      <c r="Z194" s="153"/>
    </row>
    <row r="195" spans="1:26" s="10" customFormat="1" x14ac:dyDescent="0.25">
      <c r="A195" s="142"/>
      <c r="B195" s="179"/>
      <c r="C195" s="171" t="s">
        <v>221</v>
      </c>
      <c r="D195" s="175"/>
      <c r="E195" s="175"/>
      <c r="F195" s="175"/>
      <c r="G195" s="175"/>
      <c r="H195" s="175"/>
      <c r="I195" s="175"/>
      <c r="J195" s="175"/>
      <c r="K195" s="175"/>
      <c r="L195" s="176"/>
      <c r="M195" s="177"/>
      <c r="N195" s="178"/>
      <c r="O195" s="178"/>
      <c r="P195" s="178"/>
      <c r="Q195" s="178"/>
      <c r="R195" s="177"/>
      <c r="S195" s="178"/>
      <c r="T195" s="178"/>
      <c r="U195" s="178"/>
      <c r="V195" s="178"/>
      <c r="W195" s="177"/>
      <c r="X195" s="153"/>
      <c r="Y195" s="153"/>
      <c r="Z195" s="153"/>
    </row>
    <row r="196" spans="1:26" s="10" customFormat="1" ht="36" x14ac:dyDescent="0.25">
      <c r="A196" s="142"/>
      <c r="B196" s="179"/>
      <c r="C196" s="171" t="s">
        <v>222</v>
      </c>
      <c r="D196" s="175"/>
      <c r="E196" s="175"/>
      <c r="F196" s="175"/>
      <c r="G196" s="175"/>
      <c r="H196" s="175"/>
      <c r="I196" s="175"/>
      <c r="J196" s="175"/>
      <c r="K196" s="175"/>
      <c r="L196" s="176"/>
      <c r="M196" s="177"/>
      <c r="N196" s="178"/>
      <c r="O196" s="178"/>
      <c r="P196" s="178"/>
      <c r="Q196" s="178"/>
      <c r="R196" s="177"/>
      <c r="S196" s="178"/>
      <c r="T196" s="178"/>
      <c r="U196" s="178"/>
      <c r="V196" s="178"/>
      <c r="W196" s="177"/>
      <c r="X196" s="153"/>
      <c r="Y196" s="153"/>
      <c r="Z196" s="153"/>
    </row>
    <row r="197" spans="1:26" s="10" customFormat="1" x14ac:dyDescent="0.25">
      <c r="A197" s="142"/>
      <c r="B197" s="191"/>
      <c r="C197" s="187" t="s">
        <v>223</v>
      </c>
      <c r="D197" s="175"/>
      <c r="E197" s="175"/>
      <c r="F197" s="175"/>
      <c r="G197" s="175"/>
      <c r="H197" s="175"/>
      <c r="I197" s="175"/>
      <c r="J197" s="175"/>
      <c r="K197" s="175"/>
      <c r="L197" s="176"/>
      <c r="M197" s="177"/>
      <c r="N197" s="178"/>
      <c r="O197" s="178"/>
      <c r="P197" s="178"/>
      <c r="Q197" s="178"/>
      <c r="R197" s="177"/>
      <c r="S197" s="178"/>
      <c r="T197" s="178"/>
      <c r="U197" s="178"/>
      <c r="V197" s="178"/>
      <c r="W197" s="177"/>
      <c r="X197" s="153"/>
      <c r="Y197" s="153"/>
      <c r="Z197" s="153"/>
    </row>
    <row r="198" spans="1:26" s="10" customFormat="1" x14ac:dyDescent="0.25">
      <c r="A198" s="142"/>
      <c r="B198" s="186"/>
      <c r="C198" s="187" t="s">
        <v>224</v>
      </c>
      <c r="D198" s="167">
        <f t="shared" ref="D198:H198" si="75">D199+D200+D201+D204</f>
        <v>0</v>
      </c>
      <c r="E198" s="167">
        <f t="shared" si="75"/>
        <v>0</v>
      </c>
      <c r="F198" s="167">
        <f t="shared" si="75"/>
        <v>0</v>
      </c>
      <c r="G198" s="167">
        <f t="shared" si="75"/>
        <v>0</v>
      </c>
      <c r="H198" s="167">
        <f t="shared" si="75"/>
        <v>0</v>
      </c>
      <c r="I198" s="167">
        <f t="shared" ref="I198:Z198" si="76">I199+I200+I201+I204</f>
        <v>0</v>
      </c>
      <c r="J198" s="167">
        <f t="shared" si="76"/>
        <v>0</v>
      </c>
      <c r="K198" s="167">
        <f t="shared" si="76"/>
        <v>0</v>
      </c>
      <c r="L198" s="168">
        <f t="shared" si="76"/>
        <v>0</v>
      </c>
      <c r="M198" s="169">
        <f t="shared" si="54"/>
        <v>0</v>
      </c>
      <c r="N198" s="169">
        <f t="shared" si="76"/>
        <v>0</v>
      </c>
      <c r="O198" s="169">
        <f t="shared" si="76"/>
        <v>0</v>
      </c>
      <c r="P198" s="169">
        <f t="shared" si="76"/>
        <v>0</v>
      </c>
      <c r="Q198" s="169">
        <f t="shared" si="76"/>
        <v>0</v>
      </c>
      <c r="R198" s="169">
        <f t="shared" si="55"/>
        <v>0</v>
      </c>
      <c r="S198" s="169">
        <f t="shared" si="76"/>
        <v>0</v>
      </c>
      <c r="T198" s="169">
        <f t="shared" si="76"/>
        <v>0</v>
      </c>
      <c r="U198" s="169">
        <f t="shared" si="76"/>
        <v>0</v>
      </c>
      <c r="V198" s="169">
        <f t="shared" si="76"/>
        <v>0</v>
      </c>
      <c r="W198" s="169">
        <f t="shared" si="56"/>
        <v>0</v>
      </c>
      <c r="X198" s="169">
        <f t="shared" si="76"/>
        <v>0</v>
      </c>
      <c r="Y198" s="169">
        <f t="shared" si="76"/>
        <v>0</v>
      </c>
      <c r="Z198" s="169">
        <f t="shared" si="76"/>
        <v>0</v>
      </c>
    </row>
    <row r="199" spans="1:26" s="10" customFormat="1" x14ac:dyDescent="0.25">
      <c r="A199" s="142"/>
      <c r="B199" s="180"/>
      <c r="C199" s="165" t="s">
        <v>225</v>
      </c>
      <c r="D199" s="175"/>
      <c r="E199" s="175"/>
      <c r="F199" s="175"/>
      <c r="G199" s="175"/>
      <c r="H199" s="175"/>
      <c r="I199" s="175"/>
      <c r="J199" s="175"/>
      <c r="K199" s="175"/>
      <c r="L199" s="176"/>
      <c r="M199" s="177"/>
      <c r="N199" s="178"/>
      <c r="O199" s="178"/>
      <c r="P199" s="178"/>
      <c r="Q199" s="178"/>
      <c r="R199" s="177"/>
      <c r="S199" s="178"/>
      <c r="T199" s="178"/>
      <c r="U199" s="178"/>
      <c r="V199" s="178"/>
      <c r="W199" s="177"/>
      <c r="X199" s="153"/>
      <c r="Y199" s="153"/>
      <c r="Z199" s="153"/>
    </row>
    <row r="200" spans="1:26" s="10" customFormat="1" x14ac:dyDescent="0.25">
      <c r="A200" s="142"/>
      <c r="B200" s="180"/>
      <c r="C200" s="165" t="s">
        <v>226</v>
      </c>
      <c r="D200" s="175"/>
      <c r="E200" s="175"/>
      <c r="F200" s="175"/>
      <c r="G200" s="175"/>
      <c r="H200" s="175"/>
      <c r="I200" s="175"/>
      <c r="J200" s="175"/>
      <c r="K200" s="175"/>
      <c r="L200" s="176"/>
      <c r="M200" s="177"/>
      <c r="N200" s="178"/>
      <c r="O200" s="178"/>
      <c r="P200" s="178"/>
      <c r="Q200" s="178"/>
      <c r="R200" s="177"/>
      <c r="S200" s="178"/>
      <c r="T200" s="178"/>
      <c r="U200" s="178"/>
      <c r="V200" s="178"/>
      <c r="W200" s="177"/>
      <c r="X200" s="153"/>
      <c r="Y200" s="153"/>
      <c r="Z200" s="153"/>
    </row>
    <row r="201" spans="1:26" s="10" customFormat="1" x14ac:dyDescent="0.25">
      <c r="A201" s="142"/>
      <c r="B201" s="164"/>
      <c r="C201" s="165" t="s">
        <v>227</v>
      </c>
      <c r="D201" s="167">
        <f t="shared" ref="D201:H201" si="77">SUM(D202:D203)</f>
        <v>0</v>
      </c>
      <c r="E201" s="167">
        <f t="shared" si="77"/>
        <v>0</v>
      </c>
      <c r="F201" s="167">
        <f t="shared" si="77"/>
        <v>0</v>
      </c>
      <c r="G201" s="167">
        <f t="shared" si="77"/>
        <v>0</v>
      </c>
      <c r="H201" s="167">
        <f t="shared" si="77"/>
        <v>0</v>
      </c>
      <c r="I201" s="167">
        <f t="shared" ref="I201:Z201" si="78">SUM(I202:I203)</f>
        <v>0</v>
      </c>
      <c r="J201" s="167">
        <f t="shared" si="78"/>
        <v>0</v>
      </c>
      <c r="K201" s="167">
        <f t="shared" si="78"/>
        <v>0</v>
      </c>
      <c r="L201" s="168">
        <f t="shared" si="78"/>
        <v>0</v>
      </c>
      <c r="M201" s="169">
        <f t="shared" ref="M201:M232" si="79">N201+O201+P201</f>
        <v>0</v>
      </c>
      <c r="N201" s="169">
        <f t="shared" si="78"/>
        <v>0</v>
      </c>
      <c r="O201" s="169">
        <f t="shared" si="78"/>
        <v>0</v>
      </c>
      <c r="P201" s="169">
        <f t="shared" si="78"/>
        <v>0</v>
      </c>
      <c r="Q201" s="169">
        <f t="shared" si="78"/>
        <v>0</v>
      </c>
      <c r="R201" s="169">
        <f t="shared" ref="R201:R232" si="80">S201+T201+U201</f>
        <v>0</v>
      </c>
      <c r="S201" s="169">
        <f t="shared" si="78"/>
        <v>0</v>
      </c>
      <c r="T201" s="169">
        <f t="shared" si="78"/>
        <v>0</v>
      </c>
      <c r="U201" s="169">
        <f t="shared" si="78"/>
        <v>0</v>
      </c>
      <c r="V201" s="169">
        <f t="shared" si="78"/>
        <v>0</v>
      </c>
      <c r="W201" s="169">
        <f t="shared" ref="W201:W232" si="81">X201+Y201+Z201</f>
        <v>0</v>
      </c>
      <c r="X201" s="169">
        <f t="shared" si="78"/>
        <v>0</v>
      </c>
      <c r="Y201" s="169">
        <f t="shared" si="78"/>
        <v>0</v>
      </c>
      <c r="Z201" s="169">
        <f t="shared" si="78"/>
        <v>0</v>
      </c>
    </row>
    <row r="202" spans="1:26" s="10" customFormat="1" ht="36" x14ac:dyDescent="0.25">
      <c r="A202" s="142"/>
      <c r="B202" s="179"/>
      <c r="C202" s="171" t="s">
        <v>228</v>
      </c>
      <c r="D202" s="175"/>
      <c r="E202" s="175"/>
      <c r="F202" s="175"/>
      <c r="G202" s="175"/>
      <c r="H202" s="175"/>
      <c r="I202" s="175"/>
      <c r="J202" s="175"/>
      <c r="K202" s="175"/>
      <c r="L202" s="176"/>
      <c r="M202" s="177"/>
      <c r="N202" s="178"/>
      <c r="O202" s="178"/>
      <c r="P202" s="178"/>
      <c r="Q202" s="178"/>
      <c r="R202" s="177"/>
      <c r="S202" s="178"/>
      <c r="T202" s="178"/>
      <c r="U202" s="178"/>
      <c r="V202" s="178"/>
      <c r="W202" s="177"/>
      <c r="X202" s="153"/>
      <c r="Y202" s="153"/>
      <c r="Z202" s="153"/>
    </row>
    <row r="203" spans="1:26" s="10" customFormat="1" x14ac:dyDescent="0.25">
      <c r="A203" s="142"/>
      <c r="B203" s="179"/>
      <c r="C203" s="171" t="s">
        <v>229</v>
      </c>
      <c r="D203" s="175"/>
      <c r="E203" s="175"/>
      <c r="F203" s="175"/>
      <c r="G203" s="175"/>
      <c r="H203" s="175"/>
      <c r="I203" s="175"/>
      <c r="J203" s="175"/>
      <c r="K203" s="175"/>
      <c r="L203" s="176"/>
      <c r="M203" s="177"/>
      <c r="N203" s="178"/>
      <c r="O203" s="178"/>
      <c r="P203" s="178"/>
      <c r="Q203" s="178"/>
      <c r="R203" s="177"/>
      <c r="S203" s="178"/>
      <c r="T203" s="178"/>
      <c r="U203" s="178"/>
      <c r="V203" s="178"/>
      <c r="W203" s="177"/>
      <c r="X203" s="153"/>
      <c r="Y203" s="153"/>
      <c r="Z203" s="153"/>
    </row>
    <row r="204" spans="1:26" s="10" customFormat="1" x14ac:dyDescent="0.25">
      <c r="A204" s="142"/>
      <c r="B204" s="180"/>
      <c r="C204" s="165" t="s">
        <v>230</v>
      </c>
      <c r="D204" s="175"/>
      <c r="E204" s="175"/>
      <c r="F204" s="175"/>
      <c r="G204" s="175"/>
      <c r="H204" s="175"/>
      <c r="I204" s="175"/>
      <c r="J204" s="175"/>
      <c r="K204" s="175"/>
      <c r="L204" s="176"/>
      <c r="M204" s="177"/>
      <c r="N204" s="178"/>
      <c r="O204" s="178"/>
      <c r="P204" s="178"/>
      <c r="Q204" s="178"/>
      <c r="R204" s="177"/>
      <c r="S204" s="178"/>
      <c r="T204" s="178"/>
      <c r="U204" s="178"/>
      <c r="V204" s="178"/>
      <c r="W204" s="177"/>
      <c r="X204" s="153"/>
      <c r="Y204" s="153"/>
      <c r="Z204" s="153"/>
    </row>
    <row r="205" spans="1:26" s="10" customFormat="1" x14ac:dyDescent="0.25">
      <c r="A205" s="142" t="s">
        <v>54</v>
      </c>
      <c r="B205" s="184"/>
      <c r="C205" s="185" t="s">
        <v>231</v>
      </c>
      <c r="D205" s="158">
        <f t="shared" ref="D205:H205" si="82">D206+D214+D222</f>
        <v>0</v>
      </c>
      <c r="E205" s="158">
        <f t="shared" si="82"/>
        <v>0</v>
      </c>
      <c r="F205" s="158">
        <f t="shared" si="82"/>
        <v>0</v>
      </c>
      <c r="G205" s="158">
        <f t="shared" si="82"/>
        <v>0</v>
      </c>
      <c r="H205" s="158">
        <f t="shared" si="82"/>
        <v>0</v>
      </c>
      <c r="I205" s="158">
        <f t="shared" ref="I205:Z205" si="83">I206+I214+I222</f>
        <v>0</v>
      </c>
      <c r="J205" s="158">
        <f t="shared" si="83"/>
        <v>0</v>
      </c>
      <c r="K205" s="158">
        <f t="shared" si="83"/>
        <v>0</v>
      </c>
      <c r="L205" s="159">
        <f t="shared" si="83"/>
        <v>0</v>
      </c>
      <c r="M205" s="160">
        <f t="shared" si="79"/>
        <v>0</v>
      </c>
      <c r="N205" s="160">
        <f t="shared" si="83"/>
        <v>0</v>
      </c>
      <c r="O205" s="160">
        <f t="shared" si="83"/>
        <v>0</v>
      </c>
      <c r="P205" s="160">
        <f t="shared" si="83"/>
        <v>0</v>
      </c>
      <c r="Q205" s="160">
        <f t="shared" si="83"/>
        <v>0</v>
      </c>
      <c r="R205" s="160">
        <f t="shared" si="80"/>
        <v>0</v>
      </c>
      <c r="S205" s="160">
        <f t="shared" si="83"/>
        <v>0</v>
      </c>
      <c r="T205" s="160">
        <f t="shared" si="83"/>
        <v>0</v>
      </c>
      <c r="U205" s="160">
        <f t="shared" si="83"/>
        <v>0</v>
      </c>
      <c r="V205" s="160">
        <f t="shared" si="83"/>
        <v>0</v>
      </c>
      <c r="W205" s="160">
        <f t="shared" si="81"/>
        <v>0</v>
      </c>
      <c r="X205" s="160">
        <f t="shared" si="83"/>
        <v>0</v>
      </c>
      <c r="Y205" s="160">
        <f t="shared" si="83"/>
        <v>0</v>
      </c>
      <c r="Z205" s="160">
        <f t="shared" si="83"/>
        <v>0</v>
      </c>
    </row>
    <row r="206" spans="1:26" s="10" customFormat="1" x14ac:dyDescent="0.25">
      <c r="A206" s="142"/>
      <c r="B206" s="186"/>
      <c r="C206" s="187" t="s">
        <v>232</v>
      </c>
      <c r="D206" s="167">
        <f t="shared" ref="D206:H206" si="84">SUM(D207:D213)</f>
        <v>0</v>
      </c>
      <c r="E206" s="167">
        <f t="shared" si="84"/>
        <v>0</v>
      </c>
      <c r="F206" s="167">
        <f t="shared" si="84"/>
        <v>0</v>
      </c>
      <c r="G206" s="167">
        <f t="shared" si="84"/>
        <v>0</v>
      </c>
      <c r="H206" s="167">
        <f t="shared" si="84"/>
        <v>0</v>
      </c>
      <c r="I206" s="167">
        <f t="shared" ref="I206:Z206" si="85">SUM(I207:I213)</f>
        <v>0</v>
      </c>
      <c r="J206" s="167">
        <f t="shared" si="85"/>
        <v>0</v>
      </c>
      <c r="K206" s="167">
        <f t="shared" si="85"/>
        <v>0</v>
      </c>
      <c r="L206" s="168">
        <f t="shared" si="85"/>
        <v>0</v>
      </c>
      <c r="M206" s="169">
        <f t="shared" si="79"/>
        <v>0</v>
      </c>
      <c r="N206" s="169">
        <f t="shared" si="85"/>
        <v>0</v>
      </c>
      <c r="O206" s="169">
        <f t="shared" si="85"/>
        <v>0</v>
      </c>
      <c r="P206" s="169">
        <f t="shared" si="85"/>
        <v>0</v>
      </c>
      <c r="Q206" s="169">
        <f t="shared" si="85"/>
        <v>0</v>
      </c>
      <c r="R206" s="169">
        <f t="shared" si="80"/>
        <v>0</v>
      </c>
      <c r="S206" s="169">
        <f t="shared" si="85"/>
        <v>0</v>
      </c>
      <c r="T206" s="169">
        <f t="shared" si="85"/>
        <v>0</v>
      </c>
      <c r="U206" s="169">
        <f t="shared" si="85"/>
        <v>0</v>
      </c>
      <c r="V206" s="169">
        <f t="shared" si="85"/>
        <v>0</v>
      </c>
      <c r="W206" s="169">
        <f t="shared" si="81"/>
        <v>0</v>
      </c>
      <c r="X206" s="169">
        <f t="shared" si="85"/>
        <v>0</v>
      </c>
      <c r="Y206" s="169">
        <f t="shared" si="85"/>
        <v>0</v>
      </c>
      <c r="Z206" s="169">
        <f t="shared" si="85"/>
        <v>0</v>
      </c>
    </row>
    <row r="207" spans="1:26" s="10" customFormat="1" x14ac:dyDescent="0.25">
      <c r="A207" s="142"/>
      <c r="B207" s="180"/>
      <c r="C207" s="165" t="s">
        <v>233</v>
      </c>
      <c r="D207" s="175"/>
      <c r="E207" s="175"/>
      <c r="F207" s="175"/>
      <c r="G207" s="175"/>
      <c r="H207" s="175"/>
      <c r="I207" s="175"/>
      <c r="J207" s="175"/>
      <c r="K207" s="175"/>
      <c r="L207" s="176"/>
      <c r="M207" s="177"/>
      <c r="N207" s="178"/>
      <c r="O207" s="178"/>
      <c r="P207" s="178"/>
      <c r="Q207" s="178"/>
      <c r="R207" s="177"/>
      <c r="S207" s="178"/>
      <c r="T207" s="178"/>
      <c r="U207" s="178"/>
      <c r="V207" s="178"/>
      <c r="W207" s="177"/>
      <c r="X207" s="153"/>
      <c r="Y207" s="153"/>
      <c r="Z207" s="153"/>
    </row>
    <row r="208" spans="1:26" s="10" customFormat="1" x14ac:dyDescent="0.25">
      <c r="A208" s="142"/>
      <c r="B208" s="180"/>
      <c r="C208" s="165" t="s">
        <v>234</v>
      </c>
      <c r="D208" s="175"/>
      <c r="E208" s="175"/>
      <c r="F208" s="175"/>
      <c r="G208" s="175"/>
      <c r="H208" s="175"/>
      <c r="I208" s="175"/>
      <c r="J208" s="175"/>
      <c r="K208" s="175"/>
      <c r="L208" s="176"/>
      <c r="M208" s="177"/>
      <c r="N208" s="178"/>
      <c r="O208" s="178"/>
      <c r="P208" s="178"/>
      <c r="Q208" s="178"/>
      <c r="R208" s="177"/>
      <c r="S208" s="178"/>
      <c r="T208" s="178"/>
      <c r="U208" s="178"/>
      <c r="V208" s="178"/>
      <c r="W208" s="177"/>
      <c r="X208" s="153"/>
      <c r="Y208" s="153"/>
      <c r="Z208" s="153"/>
    </row>
    <row r="209" spans="1:26" s="10" customFormat="1" x14ac:dyDescent="0.25">
      <c r="A209" s="142"/>
      <c r="B209" s="180"/>
      <c r="C209" s="165" t="s">
        <v>235</v>
      </c>
      <c r="D209" s="175"/>
      <c r="E209" s="175"/>
      <c r="F209" s="175"/>
      <c r="G209" s="175"/>
      <c r="H209" s="175"/>
      <c r="I209" s="175"/>
      <c r="J209" s="175"/>
      <c r="K209" s="175"/>
      <c r="L209" s="176"/>
      <c r="M209" s="177"/>
      <c r="N209" s="178"/>
      <c r="O209" s="178"/>
      <c r="P209" s="178"/>
      <c r="Q209" s="178"/>
      <c r="R209" s="177"/>
      <c r="S209" s="178"/>
      <c r="T209" s="178"/>
      <c r="U209" s="178"/>
      <c r="V209" s="178"/>
      <c r="W209" s="177"/>
      <c r="X209" s="153"/>
      <c r="Y209" s="153"/>
      <c r="Z209" s="153"/>
    </row>
    <row r="210" spans="1:26" s="10" customFormat="1" x14ac:dyDescent="0.25">
      <c r="A210" s="142"/>
      <c r="B210" s="180"/>
      <c r="C210" s="165" t="s">
        <v>236</v>
      </c>
      <c r="D210" s="175"/>
      <c r="E210" s="175"/>
      <c r="F210" s="175"/>
      <c r="G210" s="175"/>
      <c r="H210" s="175"/>
      <c r="I210" s="175"/>
      <c r="J210" s="175"/>
      <c r="K210" s="175"/>
      <c r="L210" s="176"/>
      <c r="M210" s="177"/>
      <c r="N210" s="178"/>
      <c r="O210" s="178"/>
      <c r="P210" s="178"/>
      <c r="Q210" s="178"/>
      <c r="R210" s="177"/>
      <c r="S210" s="178"/>
      <c r="T210" s="178"/>
      <c r="U210" s="178"/>
      <c r="V210" s="178"/>
      <c r="W210" s="177"/>
      <c r="X210" s="153"/>
      <c r="Y210" s="153"/>
      <c r="Z210" s="153"/>
    </row>
    <row r="211" spans="1:26" s="10" customFormat="1" x14ac:dyDescent="0.25">
      <c r="A211" s="142"/>
      <c r="B211" s="180"/>
      <c r="C211" s="165" t="s">
        <v>237</v>
      </c>
      <c r="D211" s="175"/>
      <c r="E211" s="175"/>
      <c r="F211" s="175"/>
      <c r="G211" s="175"/>
      <c r="H211" s="175"/>
      <c r="I211" s="175"/>
      <c r="J211" s="175"/>
      <c r="K211" s="175"/>
      <c r="L211" s="176"/>
      <c r="M211" s="177"/>
      <c r="N211" s="178"/>
      <c r="O211" s="178"/>
      <c r="P211" s="178"/>
      <c r="Q211" s="178"/>
      <c r="R211" s="177"/>
      <c r="S211" s="178"/>
      <c r="T211" s="178"/>
      <c r="U211" s="178"/>
      <c r="V211" s="178"/>
      <c r="W211" s="177"/>
      <c r="X211" s="153"/>
      <c r="Y211" s="153"/>
      <c r="Z211" s="153"/>
    </row>
    <row r="212" spans="1:26" s="10" customFormat="1" x14ac:dyDescent="0.25">
      <c r="A212" s="142"/>
      <c r="B212" s="180"/>
      <c r="C212" s="165" t="s">
        <v>238</v>
      </c>
      <c r="D212" s="175"/>
      <c r="E212" s="175"/>
      <c r="F212" s="175"/>
      <c r="G212" s="175"/>
      <c r="H212" s="175"/>
      <c r="I212" s="175"/>
      <c r="J212" s="175"/>
      <c r="K212" s="175"/>
      <c r="L212" s="176"/>
      <c r="M212" s="177"/>
      <c r="N212" s="178"/>
      <c r="O212" s="178"/>
      <c r="P212" s="178"/>
      <c r="Q212" s="178"/>
      <c r="R212" s="177"/>
      <c r="S212" s="178"/>
      <c r="T212" s="178"/>
      <c r="U212" s="178"/>
      <c r="V212" s="178"/>
      <c r="W212" s="177"/>
      <c r="X212" s="153"/>
      <c r="Y212" s="153"/>
      <c r="Z212" s="153"/>
    </row>
    <row r="213" spans="1:26" s="10" customFormat="1" x14ac:dyDescent="0.25">
      <c r="A213" s="142"/>
      <c r="B213" s="180"/>
      <c r="C213" s="165" t="s">
        <v>239</v>
      </c>
      <c r="D213" s="175"/>
      <c r="E213" s="175"/>
      <c r="F213" s="175"/>
      <c r="G213" s="175"/>
      <c r="H213" s="175"/>
      <c r="I213" s="175"/>
      <c r="J213" s="175"/>
      <c r="K213" s="175"/>
      <c r="L213" s="176"/>
      <c r="M213" s="177"/>
      <c r="N213" s="178"/>
      <c r="O213" s="178"/>
      <c r="P213" s="178"/>
      <c r="Q213" s="178"/>
      <c r="R213" s="177"/>
      <c r="S213" s="178"/>
      <c r="T213" s="178"/>
      <c r="U213" s="178"/>
      <c r="V213" s="178"/>
      <c r="W213" s="177"/>
      <c r="X213" s="153"/>
      <c r="Y213" s="153"/>
      <c r="Z213" s="153"/>
    </row>
    <row r="214" spans="1:26" s="10" customFormat="1" x14ac:dyDescent="0.25">
      <c r="A214" s="142"/>
      <c r="B214" s="186"/>
      <c r="C214" s="187" t="s">
        <v>240</v>
      </c>
      <c r="D214" s="167">
        <f t="shared" ref="D214:H214" si="86">SUM(D215:D221)</f>
        <v>0</v>
      </c>
      <c r="E214" s="167">
        <f t="shared" si="86"/>
        <v>0</v>
      </c>
      <c r="F214" s="167">
        <f t="shared" si="86"/>
        <v>0</v>
      </c>
      <c r="G214" s="167">
        <f t="shared" si="86"/>
        <v>0</v>
      </c>
      <c r="H214" s="167">
        <f t="shared" si="86"/>
        <v>0</v>
      </c>
      <c r="I214" s="167">
        <f t="shared" ref="I214:Z214" si="87">SUM(I215:I221)</f>
        <v>0</v>
      </c>
      <c r="J214" s="167">
        <f t="shared" si="87"/>
        <v>0</v>
      </c>
      <c r="K214" s="167">
        <f t="shared" si="87"/>
        <v>0</v>
      </c>
      <c r="L214" s="168">
        <f t="shared" si="87"/>
        <v>0</v>
      </c>
      <c r="M214" s="169">
        <f t="shared" si="79"/>
        <v>0</v>
      </c>
      <c r="N214" s="169">
        <f t="shared" si="87"/>
        <v>0</v>
      </c>
      <c r="O214" s="169">
        <f t="shared" si="87"/>
        <v>0</v>
      </c>
      <c r="P214" s="169">
        <f t="shared" si="87"/>
        <v>0</v>
      </c>
      <c r="Q214" s="169">
        <f t="shared" si="87"/>
        <v>0</v>
      </c>
      <c r="R214" s="169">
        <f t="shared" si="80"/>
        <v>0</v>
      </c>
      <c r="S214" s="169">
        <f t="shared" si="87"/>
        <v>0</v>
      </c>
      <c r="T214" s="169">
        <f t="shared" si="87"/>
        <v>0</v>
      </c>
      <c r="U214" s="169">
        <f t="shared" si="87"/>
        <v>0</v>
      </c>
      <c r="V214" s="169">
        <f t="shared" si="87"/>
        <v>0</v>
      </c>
      <c r="W214" s="169">
        <f t="shared" si="81"/>
        <v>0</v>
      </c>
      <c r="X214" s="169">
        <f t="shared" si="87"/>
        <v>0</v>
      </c>
      <c r="Y214" s="169">
        <f t="shared" si="87"/>
        <v>0</v>
      </c>
      <c r="Z214" s="169">
        <f t="shared" si="87"/>
        <v>0</v>
      </c>
    </row>
    <row r="215" spans="1:26" s="10" customFormat="1" x14ac:dyDescent="0.25">
      <c r="A215" s="142"/>
      <c r="B215" s="180"/>
      <c r="C215" s="165" t="s">
        <v>233</v>
      </c>
      <c r="D215" s="175"/>
      <c r="E215" s="175"/>
      <c r="F215" s="175"/>
      <c r="G215" s="175"/>
      <c r="H215" s="175"/>
      <c r="I215" s="175"/>
      <c r="J215" s="175"/>
      <c r="K215" s="175"/>
      <c r="L215" s="176"/>
      <c r="M215" s="177"/>
      <c r="N215" s="178"/>
      <c r="O215" s="178"/>
      <c r="P215" s="178"/>
      <c r="Q215" s="178"/>
      <c r="R215" s="177"/>
      <c r="S215" s="178"/>
      <c r="T215" s="178"/>
      <c r="U215" s="178"/>
      <c r="V215" s="178"/>
      <c r="W215" s="177"/>
      <c r="X215" s="153"/>
      <c r="Y215" s="153"/>
      <c r="Z215" s="153"/>
    </row>
    <row r="216" spans="1:26" s="10" customFormat="1" x14ac:dyDescent="0.25">
      <c r="A216" s="142"/>
      <c r="B216" s="180"/>
      <c r="C216" s="165" t="s">
        <v>234</v>
      </c>
      <c r="D216" s="175"/>
      <c r="E216" s="175"/>
      <c r="F216" s="175"/>
      <c r="G216" s="175"/>
      <c r="H216" s="175"/>
      <c r="I216" s="175"/>
      <c r="J216" s="175"/>
      <c r="K216" s="175"/>
      <c r="L216" s="176"/>
      <c r="M216" s="177"/>
      <c r="N216" s="178"/>
      <c r="O216" s="178"/>
      <c r="P216" s="178"/>
      <c r="Q216" s="178"/>
      <c r="R216" s="177"/>
      <c r="S216" s="178"/>
      <c r="T216" s="178"/>
      <c r="U216" s="178"/>
      <c r="V216" s="178"/>
      <c r="W216" s="177"/>
      <c r="X216" s="153"/>
      <c r="Y216" s="153"/>
      <c r="Z216" s="153"/>
    </row>
    <row r="217" spans="1:26" s="10" customFormat="1" x14ac:dyDescent="0.25">
      <c r="A217" s="142"/>
      <c r="B217" s="180"/>
      <c r="C217" s="165" t="s">
        <v>241</v>
      </c>
      <c r="D217" s="175"/>
      <c r="E217" s="175"/>
      <c r="F217" s="175"/>
      <c r="G217" s="175"/>
      <c r="H217" s="175"/>
      <c r="I217" s="175"/>
      <c r="J217" s="175"/>
      <c r="K217" s="175"/>
      <c r="L217" s="176"/>
      <c r="M217" s="177"/>
      <c r="N217" s="178"/>
      <c r="O217" s="178"/>
      <c r="P217" s="178"/>
      <c r="Q217" s="178"/>
      <c r="R217" s="177"/>
      <c r="S217" s="178"/>
      <c r="T217" s="178"/>
      <c r="U217" s="178"/>
      <c r="V217" s="178"/>
      <c r="W217" s="177"/>
      <c r="X217" s="153"/>
      <c r="Y217" s="153"/>
      <c r="Z217" s="153"/>
    </row>
    <row r="218" spans="1:26" s="10" customFormat="1" x14ac:dyDescent="0.25">
      <c r="A218" s="142"/>
      <c r="B218" s="180"/>
      <c r="C218" s="165" t="s">
        <v>242</v>
      </c>
      <c r="D218" s="175"/>
      <c r="E218" s="175"/>
      <c r="F218" s="175"/>
      <c r="G218" s="175"/>
      <c r="H218" s="175"/>
      <c r="I218" s="175"/>
      <c r="J218" s="175"/>
      <c r="K218" s="175"/>
      <c r="L218" s="176"/>
      <c r="M218" s="177"/>
      <c r="N218" s="178"/>
      <c r="O218" s="178"/>
      <c r="P218" s="178"/>
      <c r="Q218" s="178"/>
      <c r="R218" s="177"/>
      <c r="S218" s="178"/>
      <c r="T218" s="178"/>
      <c r="U218" s="178"/>
      <c r="V218" s="178"/>
      <c r="W218" s="177"/>
      <c r="X218" s="153"/>
      <c r="Y218" s="153"/>
      <c r="Z218" s="153"/>
    </row>
    <row r="219" spans="1:26" s="10" customFormat="1" x14ac:dyDescent="0.25">
      <c r="A219" s="142"/>
      <c r="B219" s="180"/>
      <c r="C219" s="165" t="s">
        <v>243</v>
      </c>
      <c r="D219" s="175"/>
      <c r="E219" s="175"/>
      <c r="F219" s="175"/>
      <c r="G219" s="175"/>
      <c r="H219" s="175"/>
      <c r="I219" s="175"/>
      <c r="J219" s="175"/>
      <c r="K219" s="175"/>
      <c r="L219" s="176"/>
      <c r="M219" s="177"/>
      <c r="N219" s="178"/>
      <c r="O219" s="178"/>
      <c r="P219" s="178"/>
      <c r="Q219" s="178"/>
      <c r="R219" s="177"/>
      <c r="S219" s="178"/>
      <c r="T219" s="178"/>
      <c r="U219" s="178"/>
      <c r="V219" s="178"/>
      <c r="W219" s="177"/>
      <c r="X219" s="153"/>
      <c r="Y219" s="153"/>
      <c r="Z219" s="153"/>
    </row>
    <row r="220" spans="1:26" s="10" customFormat="1" x14ac:dyDescent="0.25">
      <c r="A220" s="142"/>
      <c r="B220" s="180"/>
      <c r="C220" s="165" t="s">
        <v>244</v>
      </c>
      <c r="D220" s="175"/>
      <c r="E220" s="175"/>
      <c r="F220" s="175"/>
      <c r="G220" s="175"/>
      <c r="H220" s="175"/>
      <c r="I220" s="175"/>
      <c r="J220" s="175"/>
      <c r="K220" s="175"/>
      <c r="L220" s="176"/>
      <c r="M220" s="177"/>
      <c r="N220" s="178"/>
      <c r="O220" s="178"/>
      <c r="P220" s="178"/>
      <c r="Q220" s="178"/>
      <c r="R220" s="177"/>
      <c r="S220" s="178"/>
      <c r="T220" s="178"/>
      <c r="U220" s="178"/>
      <c r="V220" s="178"/>
      <c r="W220" s="177"/>
      <c r="X220" s="153"/>
      <c r="Y220" s="153"/>
      <c r="Z220" s="153"/>
    </row>
    <row r="221" spans="1:26" s="10" customFormat="1" x14ac:dyDescent="0.25">
      <c r="A221" s="142"/>
      <c r="B221" s="180"/>
      <c r="C221" s="165" t="s">
        <v>239</v>
      </c>
      <c r="D221" s="175"/>
      <c r="E221" s="175"/>
      <c r="F221" s="175"/>
      <c r="G221" s="175"/>
      <c r="H221" s="175"/>
      <c r="I221" s="175"/>
      <c r="J221" s="175"/>
      <c r="K221" s="175"/>
      <c r="L221" s="176"/>
      <c r="M221" s="177"/>
      <c r="N221" s="178"/>
      <c r="O221" s="178"/>
      <c r="P221" s="178"/>
      <c r="Q221" s="178"/>
      <c r="R221" s="177"/>
      <c r="S221" s="178"/>
      <c r="T221" s="178"/>
      <c r="U221" s="178"/>
      <c r="V221" s="178"/>
      <c r="W221" s="177"/>
      <c r="X221" s="153"/>
      <c r="Y221" s="153"/>
      <c r="Z221" s="153"/>
    </row>
    <row r="222" spans="1:26" s="10" customFormat="1" ht="33" customHeight="1" x14ac:dyDescent="0.25">
      <c r="A222" s="142"/>
      <c r="B222" s="191"/>
      <c r="C222" s="187" t="s">
        <v>245</v>
      </c>
      <c r="D222" s="175"/>
      <c r="E222" s="175"/>
      <c r="F222" s="175"/>
      <c r="G222" s="175"/>
      <c r="H222" s="175"/>
      <c r="I222" s="175"/>
      <c r="J222" s="175"/>
      <c r="K222" s="175"/>
      <c r="L222" s="176"/>
      <c r="M222" s="177"/>
      <c r="N222" s="178"/>
      <c r="O222" s="178"/>
      <c r="P222" s="178"/>
      <c r="Q222" s="178"/>
      <c r="R222" s="177"/>
      <c r="S222" s="178"/>
      <c r="T222" s="178"/>
      <c r="U222" s="178"/>
      <c r="V222" s="178"/>
      <c r="W222" s="177"/>
      <c r="X222" s="153"/>
      <c r="Y222" s="153"/>
      <c r="Z222" s="153"/>
    </row>
    <row r="223" spans="1:26" s="10" customFormat="1" x14ac:dyDescent="0.25">
      <c r="A223" s="134" t="s">
        <v>54</v>
      </c>
      <c r="B223" s="184"/>
      <c r="C223" s="185" t="s">
        <v>43</v>
      </c>
      <c r="D223" s="167">
        <f t="shared" ref="D223:H223" si="88">D224+D232</f>
        <v>0</v>
      </c>
      <c r="E223" s="167">
        <f t="shared" si="88"/>
        <v>0</v>
      </c>
      <c r="F223" s="167">
        <f t="shared" si="88"/>
        <v>0</v>
      </c>
      <c r="G223" s="167">
        <f t="shared" si="88"/>
        <v>0</v>
      </c>
      <c r="H223" s="167">
        <f t="shared" si="88"/>
        <v>0</v>
      </c>
      <c r="I223" s="167">
        <f t="shared" ref="I223:Z223" si="89">I224+I232</f>
        <v>0</v>
      </c>
      <c r="J223" s="167">
        <f t="shared" si="89"/>
        <v>0</v>
      </c>
      <c r="K223" s="167">
        <f t="shared" si="89"/>
        <v>0</v>
      </c>
      <c r="L223" s="168">
        <f t="shared" si="89"/>
        <v>0</v>
      </c>
      <c r="M223" s="169">
        <f t="shared" si="79"/>
        <v>0</v>
      </c>
      <c r="N223" s="169">
        <f t="shared" si="89"/>
        <v>0</v>
      </c>
      <c r="O223" s="169">
        <f t="shared" si="89"/>
        <v>0</v>
      </c>
      <c r="P223" s="169">
        <f t="shared" si="89"/>
        <v>0</v>
      </c>
      <c r="Q223" s="169">
        <f t="shared" si="89"/>
        <v>0</v>
      </c>
      <c r="R223" s="169">
        <f t="shared" si="80"/>
        <v>0</v>
      </c>
      <c r="S223" s="169">
        <f t="shared" si="89"/>
        <v>0</v>
      </c>
      <c r="T223" s="169">
        <f t="shared" si="89"/>
        <v>0</v>
      </c>
      <c r="U223" s="169">
        <f t="shared" si="89"/>
        <v>0</v>
      </c>
      <c r="V223" s="169">
        <f t="shared" si="89"/>
        <v>0</v>
      </c>
      <c r="W223" s="169">
        <f t="shared" si="81"/>
        <v>0</v>
      </c>
      <c r="X223" s="169">
        <f t="shared" si="89"/>
        <v>0</v>
      </c>
      <c r="Y223" s="169">
        <f t="shared" si="89"/>
        <v>0</v>
      </c>
      <c r="Z223" s="169">
        <f t="shared" si="89"/>
        <v>0</v>
      </c>
    </row>
    <row r="224" spans="1:26" s="10" customFormat="1" x14ac:dyDescent="0.25">
      <c r="A224" s="134"/>
      <c r="B224" s="186"/>
      <c r="C224" s="187" t="s">
        <v>232</v>
      </c>
      <c r="D224" s="167">
        <f t="shared" ref="D224:H224" si="90">SUM(D225:D231)</f>
        <v>0</v>
      </c>
      <c r="E224" s="167">
        <f t="shared" si="90"/>
        <v>0</v>
      </c>
      <c r="F224" s="167">
        <f t="shared" si="90"/>
        <v>0</v>
      </c>
      <c r="G224" s="167">
        <f t="shared" si="90"/>
        <v>0</v>
      </c>
      <c r="H224" s="167">
        <f t="shared" si="90"/>
        <v>0</v>
      </c>
      <c r="I224" s="167">
        <f t="shared" ref="I224:Z224" si="91">SUM(I225:I231)</f>
        <v>0</v>
      </c>
      <c r="J224" s="167">
        <f t="shared" si="91"/>
        <v>0</v>
      </c>
      <c r="K224" s="167">
        <f t="shared" si="91"/>
        <v>0</v>
      </c>
      <c r="L224" s="168">
        <f t="shared" si="91"/>
        <v>0</v>
      </c>
      <c r="M224" s="169">
        <f t="shared" si="79"/>
        <v>0</v>
      </c>
      <c r="N224" s="169">
        <f t="shared" si="91"/>
        <v>0</v>
      </c>
      <c r="O224" s="169">
        <f t="shared" si="91"/>
        <v>0</v>
      </c>
      <c r="P224" s="169">
        <f t="shared" si="91"/>
        <v>0</v>
      </c>
      <c r="Q224" s="169">
        <f t="shared" si="91"/>
        <v>0</v>
      </c>
      <c r="R224" s="169">
        <f t="shared" si="80"/>
        <v>0</v>
      </c>
      <c r="S224" s="169">
        <f t="shared" si="91"/>
        <v>0</v>
      </c>
      <c r="T224" s="169">
        <f t="shared" si="91"/>
        <v>0</v>
      </c>
      <c r="U224" s="169">
        <f t="shared" si="91"/>
        <v>0</v>
      </c>
      <c r="V224" s="169">
        <f t="shared" si="91"/>
        <v>0</v>
      </c>
      <c r="W224" s="169">
        <f t="shared" si="81"/>
        <v>0</v>
      </c>
      <c r="X224" s="169">
        <f t="shared" si="91"/>
        <v>0</v>
      </c>
      <c r="Y224" s="169">
        <f t="shared" si="91"/>
        <v>0</v>
      </c>
      <c r="Z224" s="169">
        <f t="shared" si="91"/>
        <v>0</v>
      </c>
    </row>
    <row r="225" spans="1:26" s="10" customFormat="1" x14ac:dyDescent="0.25">
      <c r="A225" s="142"/>
      <c r="B225" s="180"/>
      <c r="C225" s="165" t="s">
        <v>233</v>
      </c>
      <c r="D225" s="175"/>
      <c r="E225" s="175"/>
      <c r="F225" s="175"/>
      <c r="G225" s="175"/>
      <c r="H225" s="175"/>
      <c r="I225" s="175"/>
      <c r="J225" s="175"/>
      <c r="K225" s="175"/>
      <c r="L225" s="176"/>
      <c r="M225" s="177"/>
      <c r="N225" s="178"/>
      <c r="O225" s="178"/>
      <c r="P225" s="178"/>
      <c r="Q225" s="178"/>
      <c r="R225" s="177"/>
      <c r="S225" s="178"/>
      <c r="T225" s="178"/>
      <c r="U225" s="178"/>
      <c r="V225" s="178"/>
      <c r="W225" s="177"/>
      <c r="X225" s="153"/>
      <c r="Y225" s="153"/>
      <c r="Z225" s="153"/>
    </row>
    <row r="226" spans="1:26" s="10" customFormat="1" x14ac:dyDescent="0.25">
      <c r="A226" s="142"/>
      <c r="B226" s="180"/>
      <c r="C226" s="165" t="s">
        <v>246</v>
      </c>
      <c r="D226" s="175"/>
      <c r="E226" s="175"/>
      <c r="F226" s="175"/>
      <c r="G226" s="175"/>
      <c r="H226" s="175"/>
      <c r="I226" s="175"/>
      <c r="J226" s="175"/>
      <c r="K226" s="175"/>
      <c r="L226" s="176"/>
      <c r="M226" s="177"/>
      <c r="N226" s="178"/>
      <c r="O226" s="178"/>
      <c r="P226" s="178"/>
      <c r="Q226" s="178"/>
      <c r="R226" s="177"/>
      <c r="S226" s="178"/>
      <c r="T226" s="178"/>
      <c r="U226" s="178"/>
      <c r="V226" s="178"/>
      <c r="W226" s="177"/>
      <c r="X226" s="153"/>
      <c r="Y226" s="153"/>
      <c r="Z226" s="153"/>
    </row>
    <row r="227" spans="1:26" s="10" customFormat="1" x14ac:dyDescent="0.25">
      <c r="A227" s="142"/>
      <c r="B227" s="180"/>
      <c r="C227" s="165" t="s">
        <v>241</v>
      </c>
      <c r="D227" s="175"/>
      <c r="E227" s="175"/>
      <c r="F227" s="175"/>
      <c r="G227" s="175"/>
      <c r="H227" s="175"/>
      <c r="I227" s="175"/>
      <c r="J227" s="175"/>
      <c r="K227" s="175"/>
      <c r="L227" s="176"/>
      <c r="M227" s="177"/>
      <c r="N227" s="178"/>
      <c r="O227" s="178"/>
      <c r="P227" s="178"/>
      <c r="Q227" s="178"/>
      <c r="R227" s="177"/>
      <c r="S227" s="178"/>
      <c r="T227" s="178"/>
      <c r="U227" s="178"/>
      <c r="V227" s="178"/>
      <c r="W227" s="177"/>
      <c r="X227" s="153"/>
      <c r="Y227" s="153"/>
      <c r="Z227" s="153"/>
    </row>
    <row r="228" spans="1:26" s="10" customFormat="1" ht="36" x14ac:dyDescent="0.25">
      <c r="A228" s="142"/>
      <c r="B228" s="180"/>
      <c r="C228" s="165" t="s">
        <v>247</v>
      </c>
      <c r="D228" s="175"/>
      <c r="E228" s="175"/>
      <c r="F228" s="175"/>
      <c r="G228" s="175"/>
      <c r="H228" s="175"/>
      <c r="I228" s="175"/>
      <c r="J228" s="175"/>
      <c r="K228" s="175"/>
      <c r="L228" s="176"/>
      <c r="M228" s="177"/>
      <c r="N228" s="178"/>
      <c r="O228" s="178"/>
      <c r="P228" s="178"/>
      <c r="Q228" s="178"/>
      <c r="R228" s="177"/>
      <c r="S228" s="178"/>
      <c r="T228" s="178"/>
      <c r="U228" s="178"/>
      <c r="V228" s="178"/>
      <c r="W228" s="177"/>
      <c r="X228" s="153"/>
      <c r="Y228" s="153"/>
      <c r="Z228" s="153"/>
    </row>
    <row r="229" spans="1:26" s="10" customFormat="1" x14ac:dyDescent="0.25">
      <c r="A229" s="142"/>
      <c r="B229" s="180"/>
      <c r="C229" s="165" t="s">
        <v>248</v>
      </c>
      <c r="D229" s="175"/>
      <c r="E229" s="175"/>
      <c r="F229" s="175"/>
      <c r="G229" s="175"/>
      <c r="H229" s="175"/>
      <c r="I229" s="175"/>
      <c r="J229" s="175"/>
      <c r="K229" s="175"/>
      <c r="L229" s="176"/>
      <c r="M229" s="177"/>
      <c r="N229" s="178"/>
      <c r="O229" s="178"/>
      <c r="P229" s="178"/>
      <c r="Q229" s="178"/>
      <c r="R229" s="177"/>
      <c r="S229" s="178"/>
      <c r="T229" s="178"/>
      <c r="U229" s="178"/>
      <c r="V229" s="178"/>
      <c r="W229" s="177"/>
      <c r="X229" s="153"/>
      <c r="Y229" s="153"/>
      <c r="Z229" s="153"/>
    </row>
    <row r="230" spans="1:26" s="10" customFormat="1" x14ac:dyDescent="0.25">
      <c r="A230" s="142"/>
      <c r="B230" s="180"/>
      <c r="C230" s="165" t="s">
        <v>244</v>
      </c>
      <c r="D230" s="175"/>
      <c r="E230" s="175"/>
      <c r="F230" s="175"/>
      <c r="G230" s="175"/>
      <c r="H230" s="175"/>
      <c r="I230" s="175"/>
      <c r="J230" s="175"/>
      <c r="K230" s="175"/>
      <c r="L230" s="176"/>
      <c r="M230" s="177"/>
      <c r="N230" s="178"/>
      <c r="O230" s="178"/>
      <c r="P230" s="178"/>
      <c r="Q230" s="178"/>
      <c r="R230" s="177"/>
      <c r="S230" s="178"/>
      <c r="T230" s="178"/>
      <c r="U230" s="178"/>
      <c r="V230" s="178"/>
      <c r="W230" s="177"/>
      <c r="X230" s="153"/>
      <c r="Y230" s="153"/>
      <c r="Z230" s="153"/>
    </row>
    <row r="231" spans="1:26" s="10" customFormat="1" x14ac:dyDescent="0.25">
      <c r="A231" s="134"/>
      <c r="B231" s="180"/>
      <c r="C231" s="165" t="s">
        <v>249</v>
      </c>
      <c r="D231" s="175"/>
      <c r="E231" s="175"/>
      <c r="F231" s="175"/>
      <c r="G231" s="175"/>
      <c r="H231" s="175"/>
      <c r="I231" s="175"/>
      <c r="J231" s="175"/>
      <c r="K231" s="175"/>
      <c r="L231" s="176"/>
      <c r="M231" s="177"/>
      <c r="N231" s="178"/>
      <c r="O231" s="178"/>
      <c r="P231" s="178"/>
      <c r="Q231" s="178"/>
      <c r="R231" s="177"/>
      <c r="S231" s="178"/>
      <c r="T231" s="178"/>
      <c r="U231" s="178"/>
      <c r="V231" s="178"/>
      <c r="W231" s="177"/>
      <c r="X231" s="153"/>
      <c r="Y231" s="153"/>
      <c r="Z231" s="153"/>
    </row>
    <row r="232" spans="1:26" s="10" customFormat="1" x14ac:dyDescent="0.25">
      <c r="A232" s="142"/>
      <c r="B232" s="186"/>
      <c r="C232" s="187" t="s">
        <v>250</v>
      </c>
      <c r="D232" s="167">
        <f t="shared" ref="D232:H232" si="92">SUM(D233:D239)</f>
        <v>0</v>
      </c>
      <c r="E232" s="167">
        <f t="shared" si="92"/>
        <v>0</v>
      </c>
      <c r="F232" s="167">
        <f t="shared" si="92"/>
        <v>0</v>
      </c>
      <c r="G232" s="167">
        <f t="shared" si="92"/>
        <v>0</v>
      </c>
      <c r="H232" s="167">
        <f t="shared" si="92"/>
        <v>0</v>
      </c>
      <c r="I232" s="167">
        <f t="shared" ref="I232:Z232" si="93">SUM(I233:I239)</f>
        <v>0</v>
      </c>
      <c r="J232" s="167">
        <f t="shared" si="93"/>
        <v>0</v>
      </c>
      <c r="K232" s="167">
        <f t="shared" si="93"/>
        <v>0</v>
      </c>
      <c r="L232" s="168">
        <f t="shared" si="93"/>
        <v>0</v>
      </c>
      <c r="M232" s="169">
        <f t="shared" si="79"/>
        <v>0</v>
      </c>
      <c r="N232" s="169">
        <f t="shared" si="93"/>
        <v>0</v>
      </c>
      <c r="O232" s="169">
        <f t="shared" si="93"/>
        <v>0</v>
      </c>
      <c r="P232" s="169">
        <f t="shared" si="93"/>
        <v>0</v>
      </c>
      <c r="Q232" s="169">
        <f t="shared" si="93"/>
        <v>0</v>
      </c>
      <c r="R232" s="169">
        <f t="shared" si="80"/>
        <v>0</v>
      </c>
      <c r="S232" s="169">
        <f t="shared" si="93"/>
        <v>0</v>
      </c>
      <c r="T232" s="169">
        <f t="shared" si="93"/>
        <v>0</v>
      </c>
      <c r="U232" s="169">
        <f t="shared" si="93"/>
        <v>0</v>
      </c>
      <c r="V232" s="169">
        <f t="shared" si="93"/>
        <v>0</v>
      </c>
      <c r="W232" s="169">
        <f t="shared" si="81"/>
        <v>0</v>
      </c>
      <c r="X232" s="169">
        <f t="shared" si="93"/>
        <v>0</v>
      </c>
      <c r="Y232" s="169">
        <f t="shared" si="93"/>
        <v>0</v>
      </c>
      <c r="Z232" s="169">
        <f t="shared" si="93"/>
        <v>0</v>
      </c>
    </row>
    <row r="233" spans="1:26" s="10" customFormat="1" x14ac:dyDescent="0.25">
      <c r="A233" s="142"/>
      <c r="B233" s="180"/>
      <c r="C233" s="165" t="s">
        <v>251</v>
      </c>
      <c r="D233" s="175"/>
      <c r="E233" s="175"/>
      <c r="F233" s="175"/>
      <c r="G233" s="175"/>
      <c r="H233" s="175"/>
      <c r="I233" s="175"/>
      <c r="J233" s="175"/>
      <c r="K233" s="175"/>
      <c r="L233" s="176"/>
      <c r="M233" s="177"/>
      <c r="N233" s="178"/>
      <c r="O233" s="178"/>
      <c r="P233" s="178"/>
      <c r="Q233" s="178"/>
      <c r="R233" s="177"/>
      <c r="S233" s="178"/>
      <c r="T233" s="178"/>
      <c r="U233" s="178"/>
      <c r="V233" s="178"/>
      <c r="W233" s="177"/>
      <c r="X233" s="153"/>
      <c r="Y233" s="153"/>
      <c r="Z233" s="153"/>
    </row>
    <row r="234" spans="1:26" s="10" customFormat="1" x14ac:dyDescent="0.25">
      <c r="A234" s="142"/>
      <c r="B234" s="180"/>
      <c r="C234" s="165" t="s">
        <v>246</v>
      </c>
      <c r="D234" s="175"/>
      <c r="E234" s="175"/>
      <c r="F234" s="175"/>
      <c r="G234" s="175"/>
      <c r="H234" s="175"/>
      <c r="I234" s="175"/>
      <c r="J234" s="175"/>
      <c r="K234" s="175"/>
      <c r="L234" s="176"/>
      <c r="M234" s="177"/>
      <c r="N234" s="178"/>
      <c r="O234" s="178"/>
      <c r="P234" s="178"/>
      <c r="Q234" s="178"/>
      <c r="R234" s="177"/>
      <c r="S234" s="178"/>
      <c r="T234" s="178"/>
      <c r="U234" s="178"/>
      <c r="V234" s="178"/>
      <c r="W234" s="177"/>
      <c r="X234" s="153"/>
      <c r="Y234" s="153"/>
      <c r="Z234" s="153"/>
    </row>
    <row r="235" spans="1:26" s="10" customFormat="1" x14ac:dyDescent="0.25">
      <c r="A235" s="142"/>
      <c r="B235" s="180"/>
      <c r="C235" s="165" t="s">
        <v>241</v>
      </c>
      <c r="D235" s="175"/>
      <c r="E235" s="175"/>
      <c r="F235" s="175"/>
      <c r="G235" s="175"/>
      <c r="H235" s="175"/>
      <c r="I235" s="175"/>
      <c r="J235" s="175"/>
      <c r="K235" s="175"/>
      <c r="L235" s="176"/>
      <c r="M235" s="177"/>
      <c r="N235" s="178"/>
      <c r="O235" s="178"/>
      <c r="P235" s="178"/>
      <c r="Q235" s="178"/>
      <c r="R235" s="177"/>
      <c r="S235" s="178"/>
      <c r="T235" s="178"/>
      <c r="U235" s="178"/>
      <c r="V235" s="178"/>
      <c r="W235" s="177"/>
      <c r="X235" s="153"/>
      <c r="Y235" s="153"/>
      <c r="Z235" s="153"/>
    </row>
    <row r="236" spans="1:26" s="10" customFormat="1" ht="36" x14ac:dyDescent="0.25">
      <c r="A236" s="142"/>
      <c r="B236" s="180"/>
      <c r="C236" s="165" t="s">
        <v>247</v>
      </c>
      <c r="D236" s="175"/>
      <c r="E236" s="175"/>
      <c r="F236" s="175"/>
      <c r="G236" s="175"/>
      <c r="H236" s="175"/>
      <c r="I236" s="175"/>
      <c r="J236" s="175"/>
      <c r="K236" s="175"/>
      <c r="L236" s="176"/>
      <c r="M236" s="177"/>
      <c r="N236" s="178"/>
      <c r="O236" s="178"/>
      <c r="P236" s="178"/>
      <c r="Q236" s="178"/>
      <c r="R236" s="177"/>
      <c r="S236" s="178"/>
      <c r="T236" s="178"/>
      <c r="U236" s="178"/>
      <c r="V236" s="178"/>
      <c r="W236" s="177"/>
      <c r="X236" s="153"/>
      <c r="Y236" s="153"/>
      <c r="Z236" s="153"/>
    </row>
    <row r="237" spans="1:26" s="10" customFormat="1" x14ac:dyDescent="0.25">
      <c r="A237" s="142"/>
      <c r="B237" s="180"/>
      <c r="C237" s="165" t="s">
        <v>252</v>
      </c>
      <c r="D237" s="175"/>
      <c r="E237" s="175"/>
      <c r="F237" s="175"/>
      <c r="G237" s="175"/>
      <c r="H237" s="175"/>
      <c r="I237" s="175"/>
      <c r="J237" s="175"/>
      <c r="K237" s="175"/>
      <c r="L237" s="176"/>
      <c r="M237" s="177"/>
      <c r="N237" s="178"/>
      <c r="O237" s="178"/>
      <c r="P237" s="178"/>
      <c r="Q237" s="178"/>
      <c r="R237" s="177"/>
      <c r="S237" s="178"/>
      <c r="T237" s="178"/>
      <c r="U237" s="178"/>
      <c r="V237" s="178"/>
      <c r="W237" s="177"/>
      <c r="X237" s="153"/>
      <c r="Y237" s="153"/>
      <c r="Z237" s="153"/>
    </row>
    <row r="238" spans="1:26" s="10" customFormat="1" x14ac:dyDescent="0.25">
      <c r="A238" s="142"/>
      <c r="B238" s="180"/>
      <c r="C238" s="165" t="s">
        <v>244</v>
      </c>
      <c r="D238" s="175"/>
      <c r="E238" s="175"/>
      <c r="F238" s="175"/>
      <c r="G238" s="175"/>
      <c r="H238" s="175"/>
      <c r="I238" s="175"/>
      <c r="J238" s="175"/>
      <c r="K238" s="175"/>
      <c r="L238" s="176"/>
      <c r="M238" s="177"/>
      <c r="N238" s="178"/>
      <c r="O238" s="178"/>
      <c r="P238" s="178"/>
      <c r="Q238" s="178"/>
      <c r="R238" s="177"/>
      <c r="S238" s="178"/>
      <c r="T238" s="178"/>
      <c r="U238" s="178"/>
      <c r="V238" s="178"/>
      <c r="W238" s="177"/>
      <c r="X238" s="153"/>
      <c r="Y238" s="153"/>
      <c r="Z238" s="153"/>
    </row>
    <row r="239" spans="1:26" s="10" customFormat="1" ht="18.75" thickBot="1" x14ac:dyDescent="0.3">
      <c r="A239" s="142"/>
      <c r="B239" s="192"/>
      <c r="C239" s="193" t="s">
        <v>249</v>
      </c>
      <c r="D239" s="194"/>
      <c r="E239" s="194"/>
      <c r="F239" s="194"/>
      <c r="G239" s="194"/>
      <c r="H239" s="194"/>
      <c r="I239" s="194"/>
      <c r="J239" s="194"/>
      <c r="K239" s="194"/>
      <c r="L239" s="195"/>
      <c r="M239" s="196"/>
      <c r="N239" s="197"/>
      <c r="O239" s="197"/>
      <c r="P239" s="197"/>
      <c r="Q239" s="197"/>
      <c r="R239" s="196"/>
      <c r="S239" s="197"/>
      <c r="T239" s="197"/>
      <c r="U239" s="197"/>
      <c r="V239" s="197"/>
      <c r="W239" s="196"/>
      <c r="X239" s="198"/>
      <c r="Y239" s="198"/>
      <c r="Z239" s="198"/>
    </row>
    <row r="241" spans="2:15" s="11" customFormat="1" ht="63" customHeight="1" x14ac:dyDescent="0.2">
      <c r="B241" s="199"/>
      <c r="C241" s="516" t="s">
        <v>296</v>
      </c>
      <c r="D241" s="516"/>
      <c r="E241" s="516"/>
      <c r="F241" s="516"/>
      <c r="G241" s="516"/>
      <c r="H241" s="516"/>
      <c r="I241" s="516"/>
      <c r="J241" s="516"/>
      <c r="K241" s="516"/>
      <c r="L241" s="516"/>
      <c r="M241" s="516"/>
      <c r="N241" s="516"/>
      <c r="O241" s="516"/>
    </row>
    <row r="242" spans="2:15" s="11" customFormat="1" x14ac:dyDescent="0.2">
      <c r="B242" s="199"/>
      <c r="C242" s="200"/>
      <c r="D242" s="199"/>
      <c r="E242" s="199"/>
      <c r="F242" s="199"/>
      <c r="G242" s="199"/>
      <c r="H242" s="201"/>
      <c r="I242" s="201"/>
      <c r="J242" s="199"/>
      <c r="K242" s="199"/>
      <c r="L242" s="199"/>
      <c r="M242" s="199"/>
      <c r="N242" s="199"/>
      <c r="O242" s="199"/>
    </row>
    <row r="243" spans="2:15" s="11" customFormat="1" ht="15" x14ac:dyDescent="0.2">
      <c r="B243" s="199"/>
      <c r="C243" s="199"/>
      <c r="D243" s="199"/>
      <c r="E243" s="199"/>
      <c r="F243" s="199"/>
      <c r="G243" s="199"/>
      <c r="H243" s="201"/>
      <c r="I243" s="201"/>
      <c r="J243" s="199"/>
      <c r="K243" s="199"/>
      <c r="L243" s="199"/>
      <c r="M243" s="199"/>
      <c r="N243" s="199"/>
      <c r="O243" s="199"/>
    </row>
  </sheetData>
  <mergeCells count="16">
    <mergeCell ref="C241:O241"/>
    <mergeCell ref="D4:F5"/>
    <mergeCell ref="G4:H5"/>
    <mergeCell ref="Y1:Z1"/>
    <mergeCell ref="C1:X1"/>
    <mergeCell ref="Y2:Z2"/>
    <mergeCell ref="B3:C3"/>
    <mergeCell ref="B4:B6"/>
    <mergeCell ref="C4:C6"/>
    <mergeCell ref="V4:W5"/>
    <mergeCell ref="X4:Z5"/>
    <mergeCell ref="I4:K5"/>
    <mergeCell ref="L4:M5"/>
    <mergeCell ref="N4:P5"/>
    <mergeCell ref="Q4:R5"/>
    <mergeCell ref="S4:U5"/>
  </mergeCells>
  <pageMargins left="0.7" right="0.7" top="0.75" bottom="0.75" header="0.3" footer="0.3"/>
  <pageSetup paperSize="9" orientation="portrait" horizontalDpi="4294967294" verticalDpi="0" r:id="rId1"/>
  <ignoredErrors>
    <ignoredError sqref="H7 H10:H13 R7 M8:W8 M7:Q7 S7:W7 M10:W13 M22:W22 M24:W24 M27:W27 M31:W31 M43:W43 M53:W53 M75:W75 M90:W91 M99:W100 M103:W103 M106:W106 M109:W110 M113:W113 M116:W116 M119:W119 M122:W122 M142:W144 M156:W157 M164:W164 M185:W185 M187:W187 M190:W190 M192:W192 M198:W198 M201:W201 M205:W206 M214:W214 M223:W224 M232:W2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2"/>
  <sheetViews>
    <sheetView topLeftCell="A19" workbookViewId="0">
      <selection activeCell="G18" sqref="G18"/>
    </sheetView>
  </sheetViews>
  <sheetFormatPr defaultRowHeight="12.75" x14ac:dyDescent="0.2"/>
  <cols>
    <col min="1" max="1" width="4.42578125" style="202" customWidth="1"/>
    <col min="2" max="2" width="28" style="202" customWidth="1"/>
    <col min="3" max="3" width="17.140625" style="202" customWidth="1"/>
    <col min="4" max="4" width="18.5703125" style="202" customWidth="1"/>
    <col min="5" max="5" width="13.5703125" style="202" bestFit="1" customWidth="1"/>
    <col min="6" max="6" width="18.5703125" style="202" customWidth="1"/>
    <col min="7" max="7" width="16.5703125" style="202" customWidth="1"/>
    <col min="8" max="8" width="13.5703125" style="202" bestFit="1" customWidth="1"/>
    <col min="9" max="9" width="21.28515625" style="202" customWidth="1"/>
    <col min="10" max="10" width="24.140625" style="202" customWidth="1"/>
    <col min="11" max="255" width="9.140625" style="202"/>
    <col min="256" max="256" width="4.42578125" style="202" customWidth="1"/>
    <col min="257" max="257" width="19.5703125" style="202" customWidth="1"/>
    <col min="258" max="258" width="17.140625" style="202" customWidth="1"/>
    <col min="259" max="259" width="16.42578125" style="202" customWidth="1"/>
    <col min="260" max="260" width="18.5703125" style="202" customWidth="1"/>
    <col min="261" max="261" width="13.5703125" style="202" bestFit="1" customWidth="1"/>
    <col min="262" max="262" width="18.5703125" style="202" customWidth="1"/>
    <col min="263" max="263" width="16.5703125" style="202" customWidth="1"/>
    <col min="264" max="264" width="13.5703125" style="202" bestFit="1" customWidth="1"/>
    <col min="265" max="265" width="18.85546875" style="202" customWidth="1"/>
    <col min="266" max="266" width="19" style="202" customWidth="1"/>
    <col min="267" max="511" width="9.140625" style="202"/>
    <col min="512" max="512" width="4.42578125" style="202" customWidth="1"/>
    <col min="513" max="513" width="19.5703125" style="202" customWidth="1"/>
    <col min="514" max="514" width="17.140625" style="202" customWidth="1"/>
    <col min="515" max="515" width="16.42578125" style="202" customWidth="1"/>
    <col min="516" max="516" width="18.5703125" style="202" customWidth="1"/>
    <col min="517" max="517" width="13.5703125" style="202" bestFit="1" customWidth="1"/>
    <col min="518" max="518" width="18.5703125" style="202" customWidth="1"/>
    <col min="519" max="519" width="16.5703125" style="202" customWidth="1"/>
    <col min="520" max="520" width="13.5703125" style="202" bestFit="1" customWidth="1"/>
    <col min="521" max="521" width="18.85546875" style="202" customWidth="1"/>
    <col min="522" max="522" width="19" style="202" customWidth="1"/>
    <col min="523" max="767" width="9.140625" style="202"/>
    <col min="768" max="768" width="4.42578125" style="202" customWidth="1"/>
    <col min="769" max="769" width="19.5703125" style="202" customWidth="1"/>
    <col min="770" max="770" width="17.140625" style="202" customWidth="1"/>
    <col min="771" max="771" width="16.42578125" style="202" customWidth="1"/>
    <col min="772" max="772" width="18.5703125" style="202" customWidth="1"/>
    <col min="773" max="773" width="13.5703125" style="202" bestFit="1" customWidth="1"/>
    <col min="774" max="774" width="18.5703125" style="202" customWidth="1"/>
    <col min="775" max="775" width="16.5703125" style="202" customWidth="1"/>
    <col min="776" max="776" width="13.5703125" style="202" bestFit="1" customWidth="1"/>
    <col min="777" max="777" width="18.85546875" style="202" customWidth="1"/>
    <col min="778" max="778" width="19" style="202" customWidth="1"/>
    <col min="779" max="1023" width="9.140625" style="202"/>
    <col min="1024" max="1024" width="4.42578125" style="202" customWidth="1"/>
    <col min="1025" max="1025" width="19.5703125" style="202" customWidth="1"/>
    <col min="1026" max="1026" width="17.140625" style="202" customWidth="1"/>
    <col min="1027" max="1027" width="16.42578125" style="202" customWidth="1"/>
    <col min="1028" max="1028" width="18.5703125" style="202" customWidth="1"/>
    <col min="1029" max="1029" width="13.5703125" style="202" bestFit="1" customWidth="1"/>
    <col min="1030" max="1030" width="18.5703125" style="202" customWidth="1"/>
    <col min="1031" max="1031" width="16.5703125" style="202" customWidth="1"/>
    <col min="1032" max="1032" width="13.5703125" style="202" bestFit="1" customWidth="1"/>
    <col min="1033" max="1033" width="18.85546875" style="202" customWidth="1"/>
    <col min="1034" max="1034" width="19" style="202" customWidth="1"/>
    <col min="1035" max="1279" width="9.140625" style="202"/>
    <col min="1280" max="1280" width="4.42578125" style="202" customWidth="1"/>
    <col min="1281" max="1281" width="19.5703125" style="202" customWidth="1"/>
    <col min="1282" max="1282" width="17.140625" style="202" customWidth="1"/>
    <col min="1283" max="1283" width="16.42578125" style="202" customWidth="1"/>
    <col min="1284" max="1284" width="18.5703125" style="202" customWidth="1"/>
    <col min="1285" max="1285" width="13.5703125" style="202" bestFit="1" customWidth="1"/>
    <col min="1286" max="1286" width="18.5703125" style="202" customWidth="1"/>
    <col min="1287" max="1287" width="16.5703125" style="202" customWidth="1"/>
    <col min="1288" max="1288" width="13.5703125" style="202" bestFit="1" customWidth="1"/>
    <col min="1289" max="1289" width="18.85546875" style="202" customWidth="1"/>
    <col min="1290" max="1290" width="19" style="202" customWidth="1"/>
    <col min="1291" max="1535" width="9.140625" style="202"/>
    <col min="1536" max="1536" width="4.42578125" style="202" customWidth="1"/>
    <col min="1537" max="1537" width="19.5703125" style="202" customWidth="1"/>
    <col min="1538" max="1538" width="17.140625" style="202" customWidth="1"/>
    <col min="1539" max="1539" width="16.42578125" style="202" customWidth="1"/>
    <col min="1540" max="1540" width="18.5703125" style="202" customWidth="1"/>
    <col min="1541" max="1541" width="13.5703125" style="202" bestFit="1" customWidth="1"/>
    <col min="1542" max="1542" width="18.5703125" style="202" customWidth="1"/>
    <col min="1543" max="1543" width="16.5703125" style="202" customWidth="1"/>
    <col min="1544" max="1544" width="13.5703125" style="202" bestFit="1" customWidth="1"/>
    <col min="1545" max="1545" width="18.85546875" style="202" customWidth="1"/>
    <col min="1546" max="1546" width="19" style="202" customWidth="1"/>
    <col min="1547" max="1791" width="9.140625" style="202"/>
    <col min="1792" max="1792" width="4.42578125" style="202" customWidth="1"/>
    <col min="1793" max="1793" width="19.5703125" style="202" customWidth="1"/>
    <col min="1794" max="1794" width="17.140625" style="202" customWidth="1"/>
    <col min="1795" max="1795" width="16.42578125" style="202" customWidth="1"/>
    <col min="1796" max="1796" width="18.5703125" style="202" customWidth="1"/>
    <col min="1797" max="1797" width="13.5703125" style="202" bestFit="1" customWidth="1"/>
    <col min="1798" max="1798" width="18.5703125" style="202" customWidth="1"/>
    <col min="1799" max="1799" width="16.5703125" style="202" customWidth="1"/>
    <col min="1800" max="1800" width="13.5703125" style="202" bestFit="1" customWidth="1"/>
    <col min="1801" max="1801" width="18.85546875" style="202" customWidth="1"/>
    <col min="1802" max="1802" width="19" style="202" customWidth="1"/>
    <col min="1803" max="2047" width="9.140625" style="202"/>
    <col min="2048" max="2048" width="4.42578125" style="202" customWidth="1"/>
    <col min="2049" max="2049" width="19.5703125" style="202" customWidth="1"/>
    <col min="2050" max="2050" width="17.140625" style="202" customWidth="1"/>
    <col min="2051" max="2051" width="16.42578125" style="202" customWidth="1"/>
    <col min="2052" max="2052" width="18.5703125" style="202" customWidth="1"/>
    <col min="2053" max="2053" width="13.5703125" style="202" bestFit="1" customWidth="1"/>
    <col min="2054" max="2054" width="18.5703125" style="202" customWidth="1"/>
    <col min="2055" max="2055" width="16.5703125" style="202" customWidth="1"/>
    <col min="2056" max="2056" width="13.5703125" style="202" bestFit="1" customWidth="1"/>
    <col min="2057" max="2057" width="18.85546875" style="202" customWidth="1"/>
    <col min="2058" max="2058" width="19" style="202" customWidth="1"/>
    <col min="2059" max="2303" width="9.140625" style="202"/>
    <col min="2304" max="2304" width="4.42578125" style="202" customWidth="1"/>
    <col min="2305" max="2305" width="19.5703125" style="202" customWidth="1"/>
    <col min="2306" max="2306" width="17.140625" style="202" customWidth="1"/>
    <col min="2307" max="2307" width="16.42578125" style="202" customWidth="1"/>
    <col min="2308" max="2308" width="18.5703125" style="202" customWidth="1"/>
    <col min="2309" max="2309" width="13.5703125" style="202" bestFit="1" customWidth="1"/>
    <col min="2310" max="2310" width="18.5703125" style="202" customWidth="1"/>
    <col min="2311" max="2311" width="16.5703125" style="202" customWidth="1"/>
    <col min="2312" max="2312" width="13.5703125" style="202" bestFit="1" customWidth="1"/>
    <col min="2313" max="2313" width="18.85546875" style="202" customWidth="1"/>
    <col min="2314" max="2314" width="19" style="202" customWidth="1"/>
    <col min="2315" max="2559" width="9.140625" style="202"/>
    <col min="2560" max="2560" width="4.42578125" style="202" customWidth="1"/>
    <col min="2561" max="2561" width="19.5703125" style="202" customWidth="1"/>
    <col min="2562" max="2562" width="17.140625" style="202" customWidth="1"/>
    <col min="2563" max="2563" width="16.42578125" style="202" customWidth="1"/>
    <col min="2564" max="2564" width="18.5703125" style="202" customWidth="1"/>
    <col min="2565" max="2565" width="13.5703125" style="202" bestFit="1" customWidth="1"/>
    <col min="2566" max="2566" width="18.5703125" style="202" customWidth="1"/>
    <col min="2567" max="2567" width="16.5703125" style="202" customWidth="1"/>
    <col min="2568" max="2568" width="13.5703125" style="202" bestFit="1" customWidth="1"/>
    <col min="2569" max="2569" width="18.85546875" style="202" customWidth="1"/>
    <col min="2570" max="2570" width="19" style="202" customWidth="1"/>
    <col min="2571" max="2815" width="9.140625" style="202"/>
    <col min="2816" max="2816" width="4.42578125" style="202" customWidth="1"/>
    <col min="2817" max="2817" width="19.5703125" style="202" customWidth="1"/>
    <col min="2818" max="2818" width="17.140625" style="202" customWidth="1"/>
    <col min="2819" max="2819" width="16.42578125" style="202" customWidth="1"/>
    <col min="2820" max="2820" width="18.5703125" style="202" customWidth="1"/>
    <col min="2821" max="2821" width="13.5703125" style="202" bestFit="1" customWidth="1"/>
    <col min="2822" max="2822" width="18.5703125" style="202" customWidth="1"/>
    <col min="2823" max="2823" width="16.5703125" style="202" customWidth="1"/>
    <col min="2824" max="2824" width="13.5703125" style="202" bestFit="1" customWidth="1"/>
    <col min="2825" max="2825" width="18.85546875" style="202" customWidth="1"/>
    <col min="2826" max="2826" width="19" style="202" customWidth="1"/>
    <col min="2827" max="3071" width="9.140625" style="202"/>
    <col min="3072" max="3072" width="4.42578125" style="202" customWidth="1"/>
    <col min="3073" max="3073" width="19.5703125" style="202" customWidth="1"/>
    <col min="3074" max="3074" width="17.140625" style="202" customWidth="1"/>
    <col min="3075" max="3075" width="16.42578125" style="202" customWidth="1"/>
    <col min="3076" max="3076" width="18.5703125" style="202" customWidth="1"/>
    <col min="3077" max="3077" width="13.5703125" style="202" bestFit="1" customWidth="1"/>
    <col min="3078" max="3078" width="18.5703125" style="202" customWidth="1"/>
    <col min="3079" max="3079" width="16.5703125" style="202" customWidth="1"/>
    <col min="3080" max="3080" width="13.5703125" style="202" bestFit="1" customWidth="1"/>
    <col min="3081" max="3081" width="18.85546875" style="202" customWidth="1"/>
    <col min="3082" max="3082" width="19" style="202" customWidth="1"/>
    <col min="3083" max="3327" width="9.140625" style="202"/>
    <col min="3328" max="3328" width="4.42578125" style="202" customWidth="1"/>
    <col min="3329" max="3329" width="19.5703125" style="202" customWidth="1"/>
    <col min="3330" max="3330" width="17.140625" style="202" customWidth="1"/>
    <col min="3331" max="3331" width="16.42578125" style="202" customWidth="1"/>
    <col min="3332" max="3332" width="18.5703125" style="202" customWidth="1"/>
    <col min="3333" max="3333" width="13.5703125" style="202" bestFit="1" customWidth="1"/>
    <col min="3334" max="3334" width="18.5703125" style="202" customWidth="1"/>
    <col min="3335" max="3335" width="16.5703125" style="202" customWidth="1"/>
    <col min="3336" max="3336" width="13.5703125" style="202" bestFit="1" customWidth="1"/>
    <col min="3337" max="3337" width="18.85546875" style="202" customWidth="1"/>
    <col min="3338" max="3338" width="19" style="202" customWidth="1"/>
    <col min="3339" max="3583" width="9.140625" style="202"/>
    <col min="3584" max="3584" width="4.42578125" style="202" customWidth="1"/>
    <col min="3585" max="3585" width="19.5703125" style="202" customWidth="1"/>
    <col min="3586" max="3586" width="17.140625" style="202" customWidth="1"/>
    <col min="3587" max="3587" width="16.42578125" style="202" customWidth="1"/>
    <col min="3588" max="3588" width="18.5703125" style="202" customWidth="1"/>
    <col min="3589" max="3589" width="13.5703125" style="202" bestFit="1" customWidth="1"/>
    <col min="3590" max="3590" width="18.5703125" style="202" customWidth="1"/>
    <col min="3591" max="3591" width="16.5703125" style="202" customWidth="1"/>
    <col min="3592" max="3592" width="13.5703125" style="202" bestFit="1" customWidth="1"/>
    <col min="3593" max="3593" width="18.85546875" style="202" customWidth="1"/>
    <col min="3594" max="3594" width="19" style="202" customWidth="1"/>
    <col min="3595" max="3839" width="9.140625" style="202"/>
    <col min="3840" max="3840" width="4.42578125" style="202" customWidth="1"/>
    <col min="3841" max="3841" width="19.5703125" style="202" customWidth="1"/>
    <col min="3842" max="3842" width="17.140625" style="202" customWidth="1"/>
    <col min="3843" max="3843" width="16.42578125" style="202" customWidth="1"/>
    <col min="3844" max="3844" width="18.5703125" style="202" customWidth="1"/>
    <col min="3845" max="3845" width="13.5703125" style="202" bestFit="1" customWidth="1"/>
    <col min="3846" max="3846" width="18.5703125" style="202" customWidth="1"/>
    <col min="3847" max="3847" width="16.5703125" style="202" customWidth="1"/>
    <col min="3848" max="3848" width="13.5703125" style="202" bestFit="1" customWidth="1"/>
    <col min="3849" max="3849" width="18.85546875" style="202" customWidth="1"/>
    <col min="3850" max="3850" width="19" style="202" customWidth="1"/>
    <col min="3851" max="4095" width="9.140625" style="202"/>
    <col min="4096" max="4096" width="4.42578125" style="202" customWidth="1"/>
    <col min="4097" max="4097" width="19.5703125" style="202" customWidth="1"/>
    <col min="4098" max="4098" width="17.140625" style="202" customWidth="1"/>
    <col min="4099" max="4099" width="16.42578125" style="202" customWidth="1"/>
    <col min="4100" max="4100" width="18.5703125" style="202" customWidth="1"/>
    <col min="4101" max="4101" width="13.5703125" style="202" bestFit="1" customWidth="1"/>
    <col min="4102" max="4102" width="18.5703125" style="202" customWidth="1"/>
    <col min="4103" max="4103" width="16.5703125" style="202" customWidth="1"/>
    <col min="4104" max="4104" width="13.5703125" style="202" bestFit="1" customWidth="1"/>
    <col min="4105" max="4105" width="18.85546875" style="202" customWidth="1"/>
    <col min="4106" max="4106" width="19" style="202" customWidth="1"/>
    <col min="4107" max="4351" width="9.140625" style="202"/>
    <col min="4352" max="4352" width="4.42578125" style="202" customWidth="1"/>
    <col min="4353" max="4353" width="19.5703125" style="202" customWidth="1"/>
    <col min="4354" max="4354" width="17.140625" style="202" customWidth="1"/>
    <col min="4355" max="4355" width="16.42578125" style="202" customWidth="1"/>
    <col min="4356" max="4356" width="18.5703125" style="202" customWidth="1"/>
    <col min="4357" max="4357" width="13.5703125" style="202" bestFit="1" customWidth="1"/>
    <col min="4358" max="4358" width="18.5703125" style="202" customWidth="1"/>
    <col min="4359" max="4359" width="16.5703125" style="202" customWidth="1"/>
    <col min="4360" max="4360" width="13.5703125" style="202" bestFit="1" customWidth="1"/>
    <col min="4361" max="4361" width="18.85546875" style="202" customWidth="1"/>
    <col min="4362" max="4362" width="19" style="202" customWidth="1"/>
    <col min="4363" max="4607" width="9.140625" style="202"/>
    <col min="4608" max="4608" width="4.42578125" style="202" customWidth="1"/>
    <col min="4609" max="4609" width="19.5703125" style="202" customWidth="1"/>
    <col min="4610" max="4610" width="17.140625" style="202" customWidth="1"/>
    <col min="4611" max="4611" width="16.42578125" style="202" customWidth="1"/>
    <col min="4612" max="4612" width="18.5703125" style="202" customWidth="1"/>
    <col min="4613" max="4613" width="13.5703125" style="202" bestFit="1" customWidth="1"/>
    <col min="4614" max="4614" width="18.5703125" style="202" customWidth="1"/>
    <col min="4615" max="4615" width="16.5703125" style="202" customWidth="1"/>
    <col min="4616" max="4616" width="13.5703125" style="202" bestFit="1" customWidth="1"/>
    <col min="4617" max="4617" width="18.85546875" style="202" customWidth="1"/>
    <col min="4618" max="4618" width="19" style="202" customWidth="1"/>
    <col min="4619" max="4863" width="9.140625" style="202"/>
    <col min="4864" max="4864" width="4.42578125" style="202" customWidth="1"/>
    <col min="4865" max="4865" width="19.5703125" style="202" customWidth="1"/>
    <col min="4866" max="4866" width="17.140625" style="202" customWidth="1"/>
    <col min="4867" max="4867" width="16.42578125" style="202" customWidth="1"/>
    <col min="4868" max="4868" width="18.5703125" style="202" customWidth="1"/>
    <col min="4869" max="4869" width="13.5703125" style="202" bestFit="1" customWidth="1"/>
    <col min="4870" max="4870" width="18.5703125" style="202" customWidth="1"/>
    <col min="4871" max="4871" width="16.5703125" style="202" customWidth="1"/>
    <col min="4872" max="4872" width="13.5703125" style="202" bestFit="1" customWidth="1"/>
    <col min="4873" max="4873" width="18.85546875" style="202" customWidth="1"/>
    <col min="4874" max="4874" width="19" style="202" customWidth="1"/>
    <col min="4875" max="5119" width="9.140625" style="202"/>
    <col min="5120" max="5120" width="4.42578125" style="202" customWidth="1"/>
    <col min="5121" max="5121" width="19.5703125" style="202" customWidth="1"/>
    <col min="5122" max="5122" width="17.140625" style="202" customWidth="1"/>
    <col min="5123" max="5123" width="16.42578125" style="202" customWidth="1"/>
    <col min="5124" max="5124" width="18.5703125" style="202" customWidth="1"/>
    <col min="5125" max="5125" width="13.5703125" style="202" bestFit="1" customWidth="1"/>
    <col min="5126" max="5126" width="18.5703125" style="202" customWidth="1"/>
    <col min="5127" max="5127" width="16.5703125" style="202" customWidth="1"/>
    <col min="5128" max="5128" width="13.5703125" style="202" bestFit="1" customWidth="1"/>
    <col min="5129" max="5129" width="18.85546875" style="202" customWidth="1"/>
    <col min="5130" max="5130" width="19" style="202" customWidth="1"/>
    <col min="5131" max="5375" width="9.140625" style="202"/>
    <col min="5376" max="5376" width="4.42578125" style="202" customWidth="1"/>
    <col min="5377" max="5377" width="19.5703125" style="202" customWidth="1"/>
    <col min="5378" max="5378" width="17.140625" style="202" customWidth="1"/>
    <col min="5379" max="5379" width="16.42578125" style="202" customWidth="1"/>
    <col min="5380" max="5380" width="18.5703125" style="202" customWidth="1"/>
    <col min="5381" max="5381" width="13.5703125" style="202" bestFit="1" customWidth="1"/>
    <col min="5382" max="5382" width="18.5703125" style="202" customWidth="1"/>
    <col min="5383" max="5383" width="16.5703125" style="202" customWidth="1"/>
    <col min="5384" max="5384" width="13.5703125" style="202" bestFit="1" customWidth="1"/>
    <col min="5385" max="5385" width="18.85546875" style="202" customWidth="1"/>
    <col min="5386" max="5386" width="19" style="202" customWidth="1"/>
    <col min="5387" max="5631" width="9.140625" style="202"/>
    <col min="5632" max="5632" width="4.42578125" style="202" customWidth="1"/>
    <col min="5633" max="5633" width="19.5703125" style="202" customWidth="1"/>
    <col min="5634" max="5634" width="17.140625" style="202" customWidth="1"/>
    <col min="5635" max="5635" width="16.42578125" style="202" customWidth="1"/>
    <col min="5636" max="5636" width="18.5703125" style="202" customWidth="1"/>
    <col min="5637" max="5637" width="13.5703125" style="202" bestFit="1" customWidth="1"/>
    <col min="5638" max="5638" width="18.5703125" style="202" customWidth="1"/>
    <col min="5639" max="5639" width="16.5703125" style="202" customWidth="1"/>
    <col min="5640" max="5640" width="13.5703125" style="202" bestFit="1" customWidth="1"/>
    <col min="5641" max="5641" width="18.85546875" style="202" customWidth="1"/>
    <col min="5642" max="5642" width="19" style="202" customWidth="1"/>
    <col min="5643" max="5887" width="9.140625" style="202"/>
    <col min="5888" max="5888" width="4.42578125" style="202" customWidth="1"/>
    <col min="5889" max="5889" width="19.5703125" style="202" customWidth="1"/>
    <col min="5890" max="5890" width="17.140625" style="202" customWidth="1"/>
    <col min="5891" max="5891" width="16.42578125" style="202" customWidth="1"/>
    <col min="5892" max="5892" width="18.5703125" style="202" customWidth="1"/>
    <col min="5893" max="5893" width="13.5703125" style="202" bestFit="1" customWidth="1"/>
    <col min="5894" max="5894" width="18.5703125" style="202" customWidth="1"/>
    <col min="5895" max="5895" width="16.5703125" style="202" customWidth="1"/>
    <col min="5896" max="5896" width="13.5703125" style="202" bestFit="1" customWidth="1"/>
    <col min="5897" max="5897" width="18.85546875" style="202" customWidth="1"/>
    <col min="5898" max="5898" width="19" style="202" customWidth="1"/>
    <col min="5899" max="6143" width="9.140625" style="202"/>
    <col min="6144" max="6144" width="4.42578125" style="202" customWidth="1"/>
    <col min="6145" max="6145" width="19.5703125" style="202" customWidth="1"/>
    <col min="6146" max="6146" width="17.140625" style="202" customWidth="1"/>
    <col min="6147" max="6147" width="16.42578125" style="202" customWidth="1"/>
    <col min="6148" max="6148" width="18.5703125" style="202" customWidth="1"/>
    <col min="6149" max="6149" width="13.5703125" style="202" bestFit="1" customWidth="1"/>
    <col min="6150" max="6150" width="18.5703125" style="202" customWidth="1"/>
    <col min="6151" max="6151" width="16.5703125" style="202" customWidth="1"/>
    <col min="6152" max="6152" width="13.5703125" style="202" bestFit="1" customWidth="1"/>
    <col min="6153" max="6153" width="18.85546875" style="202" customWidth="1"/>
    <col min="6154" max="6154" width="19" style="202" customWidth="1"/>
    <col min="6155" max="6399" width="9.140625" style="202"/>
    <col min="6400" max="6400" width="4.42578125" style="202" customWidth="1"/>
    <col min="6401" max="6401" width="19.5703125" style="202" customWidth="1"/>
    <col min="6402" max="6402" width="17.140625" style="202" customWidth="1"/>
    <col min="6403" max="6403" width="16.42578125" style="202" customWidth="1"/>
    <col min="6404" max="6404" width="18.5703125" style="202" customWidth="1"/>
    <col min="6405" max="6405" width="13.5703125" style="202" bestFit="1" customWidth="1"/>
    <col min="6406" max="6406" width="18.5703125" style="202" customWidth="1"/>
    <col min="6407" max="6407" width="16.5703125" style="202" customWidth="1"/>
    <col min="6408" max="6408" width="13.5703125" style="202" bestFit="1" customWidth="1"/>
    <col min="6409" max="6409" width="18.85546875" style="202" customWidth="1"/>
    <col min="6410" max="6410" width="19" style="202" customWidth="1"/>
    <col min="6411" max="6655" width="9.140625" style="202"/>
    <col min="6656" max="6656" width="4.42578125" style="202" customWidth="1"/>
    <col min="6657" max="6657" width="19.5703125" style="202" customWidth="1"/>
    <col min="6658" max="6658" width="17.140625" style="202" customWidth="1"/>
    <col min="6659" max="6659" width="16.42578125" style="202" customWidth="1"/>
    <col min="6660" max="6660" width="18.5703125" style="202" customWidth="1"/>
    <col min="6661" max="6661" width="13.5703125" style="202" bestFit="1" customWidth="1"/>
    <col min="6662" max="6662" width="18.5703125" style="202" customWidth="1"/>
    <col min="6663" max="6663" width="16.5703125" style="202" customWidth="1"/>
    <col min="6664" max="6664" width="13.5703125" style="202" bestFit="1" customWidth="1"/>
    <col min="6665" max="6665" width="18.85546875" style="202" customWidth="1"/>
    <col min="6666" max="6666" width="19" style="202" customWidth="1"/>
    <col min="6667" max="6911" width="9.140625" style="202"/>
    <col min="6912" max="6912" width="4.42578125" style="202" customWidth="1"/>
    <col min="6913" max="6913" width="19.5703125" style="202" customWidth="1"/>
    <col min="6914" max="6914" width="17.140625" style="202" customWidth="1"/>
    <col min="6915" max="6915" width="16.42578125" style="202" customWidth="1"/>
    <col min="6916" max="6916" width="18.5703125" style="202" customWidth="1"/>
    <col min="6917" max="6917" width="13.5703125" style="202" bestFit="1" customWidth="1"/>
    <col min="6918" max="6918" width="18.5703125" style="202" customWidth="1"/>
    <col min="6919" max="6919" width="16.5703125" style="202" customWidth="1"/>
    <col min="6920" max="6920" width="13.5703125" style="202" bestFit="1" customWidth="1"/>
    <col min="6921" max="6921" width="18.85546875" style="202" customWidth="1"/>
    <col min="6922" max="6922" width="19" style="202" customWidth="1"/>
    <col min="6923" max="7167" width="9.140625" style="202"/>
    <col min="7168" max="7168" width="4.42578125" style="202" customWidth="1"/>
    <col min="7169" max="7169" width="19.5703125" style="202" customWidth="1"/>
    <col min="7170" max="7170" width="17.140625" style="202" customWidth="1"/>
    <col min="7171" max="7171" width="16.42578125" style="202" customWidth="1"/>
    <col min="7172" max="7172" width="18.5703125" style="202" customWidth="1"/>
    <col min="7173" max="7173" width="13.5703125" style="202" bestFit="1" customWidth="1"/>
    <col min="7174" max="7174" width="18.5703125" style="202" customWidth="1"/>
    <col min="7175" max="7175" width="16.5703125" style="202" customWidth="1"/>
    <col min="7176" max="7176" width="13.5703125" style="202" bestFit="1" customWidth="1"/>
    <col min="7177" max="7177" width="18.85546875" style="202" customWidth="1"/>
    <col min="7178" max="7178" width="19" style="202" customWidth="1"/>
    <col min="7179" max="7423" width="9.140625" style="202"/>
    <col min="7424" max="7424" width="4.42578125" style="202" customWidth="1"/>
    <col min="7425" max="7425" width="19.5703125" style="202" customWidth="1"/>
    <col min="7426" max="7426" width="17.140625" style="202" customWidth="1"/>
    <col min="7427" max="7427" width="16.42578125" style="202" customWidth="1"/>
    <col min="7428" max="7428" width="18.5703125" style="202" customWidth="1"/>
    <col min="7429" max="7429" width="13.5703125" style="202" bestFit="1" customWidth="1"/>
    <col min="7430" max="7430" width="18.5703125" style="202" customWidth="1"/>
    <col min="7431" max="7431" width="16.5703125" style="202" customWidth="1"/>
    <col min="7432" max="7432" width="13.5703125" style="202" bestFit="1" customWidth="1"/>
    <col min="7433" max="7433" width="18.85546875" style="202" customWidth="1"/>
    <col min="7434" max="7434" width="19" style="202" customWidth="1"/>
    <col min="7435" max="7679" width="9.140625" style="202"/>
    <col min="7680" max="7680" width="4.42578125" style="202" customWidth="1"/>
    <col min="7681" max="7681" width="19.5703125" style="202" customWidth="1"/>
    <col min="7682" max="7682" width="17.140625" style="202" customWidth="1"/>
    <col min="7683" max="7683" width="16.42578125" style="202" customWidth="1"/>
    <col min="7684" max="7684" width="18.5703125" style="202" customWidth="1"/>
    <col min="7685" max="7685" width="13.5703125" style="202" bestFit="1" customWidth="1"/>
    <col min="7686" max="7686" width="18.5703125" style="202" customWidth="1"/>
    <col min="7687" max="7687" width="16.5703125" style="202" customWidth="1"/>
    <col min="7688" max="7688" width="13.5703125" style="202" bestFit="1" customWidth="1"/>
    <col min="7689" max="7689" width="18.85546875" style="202" customWidth="1"/>
    <col min="7690" max="7690" width="19" style="202" customWidth="1"/>
    <col min="7691" max="7935" width="9.140625" style="202"/>
    <col min="7936" max="7936" width="4.42578125" style="202" customWidth="1"/>
    <col min="7937" max="7937" width="19.5703125" style="202" customWidth="1"/>
    <col min="7938" max="7938" width="17.140625" style="202" customWidth="1"/>
    <col min="7939" max="7939" width="16.42578125" style="202" customWidth="1"/>
    <col min="7940" max="7940" width="18.5703125" style="202" customWidth="1"/>
    <col min="7941" max="7941" width="13.5703125" style="202" bestFit="1" customWidth="1"/>
    <col min="7942" max="7942" width="18.5703125" style="202" customWidth="1"/>
    <col min="7943" max="7943" width="16.5703125" style="202" customWidth="1"/>
    <col min="7944" max="7944" width="13.5703125" style="202" bestFit="1" customWidth="1"/>
    <col min="7945" max="7945" width="18.85546875" style="202" customWidth="1"/>
    <col min="7946" max="7946" width="19" style="202" customWidth="1"/>
    <col min="7947" max="8191" width="9.140625" style="202"/>
    <col min="8192" max="8192" width="4.42578125" style="202" customWidth="1"/>
    <col min="8193" max="8193" width="19.5703125" style="202" customWidth="1"/>
    <col min="8194" max="8194" width="17.140625" style="202" customWidth="1"/>
    <col min="8195" max="8195" width="16.42578125" style="202" customWidth="1"/>
    <col min="8196" max="8196" width="18.5703125" style="202" customWidth="1"/>
    <col min="8197" max="8197" width="13.5703125" style="202" bestFit="1" customWidth="1"/>
    <col min="8198" max="8198" width="18.5703125" style="202" customWidth="1"/>
    <col min="8199" max="8199" width="16.5703125" style="202" customWidth="1"/>
    <col min="8200" max="8200" width="13.5703125" style="202" bestFit="1" customWidth="1"/>
    <col min="8201" max="8201" width="18.85546875" style="202" customWidth="1"/>
    <col min="8202" max="8202" width="19" style="202" customWidth="1"/>
    <col min="8203" max="8447" width="9.140625" style="202"/>
    <col min="8448" max="8448" width="4.42578125" style="202" customWidth="1"/>
    <col min="8449" max="8449" width="19.5703125" style="202" customWidth="1"/>
    <col min="8450" max="8450" width="17.140625" style="202" customWidth="1"/>
    <col min="8451" max="8451" width="16.42578125" style="202" customWidth="1"/>
    <col min="8452" max="8452" width="18.5703125" style="202" customWidth="1"/>
    <col min="8453" max="8453" width="13.5703125" style="202" bestFit="1" customWidth="1"/>
    <col min="8454" max="8454" width="18.5703125" style="202" customWidth="1"/>
    <col min="8455" max="8455" width="16.5703125" style="202" customWidth="1"/>
    <col min="8456" max="8456" width="13.5703125" style="202" bestFit="1" customWidth="1"/>
    <col min="8457" max="8457" width="18.85546875" style="202" customWidth="1"/>
    <col min="8458" max="8458" width="19" style="202" customWidth="1"/>
    <col min="8459" max="8703" width="9.140625" style="202"/>
    <col min="8704" max="8704" width="4.42578125" style="202" customWidth="1"/>
    <col min="8705" max="8705" width="19.5703125" style="202" customWidth="1"/>
    <col min="8706" max="8706" width="17.140625" style="202" customWidth="1"/>
    <col min="8707" max="8707" width="16.42578125" style="202" customWidth="1"/>
    <col min="8708" max="8708" width="18.5703125" style="202" customWidth="1"/>
    <col min="8709" max="8709" width="13.5703125" style="202" bestFit="1" customWidth="1"/>
    <col min="8710" max="8710" width="18.5703125" style="202" customWidth="1"/>
    <col min="8711" max="8711" width="16.5703125" style="202" customWidth="1"/>
    <col min="8712" max="8712" width="13.5703125" style="202" bestFit="1" customWidth="1"/>
    <col min="8713" max="8713" width="18.85546875" style="202" customWidth="1"/>
    <col min="8714" max="8714" width="19" style="202" customWidth="1"/>
    <col min="8715" max="8959" width="9.140625" style="202"/>
    <col min="8960" max="8960" width="4.42578125" style="202" customWidth="1"/>
    <col min="8961" max="8961" width="19.5703125" style="202" customWidth="1"/>
    <col min="8962" max="8962" width="17.140625" style="202" customWidth="1"/>
    <col min="8963" max="8963" width="16.42578125" style="202" customWidth="1"/>
    <col min="8964" max="8964" width="18.5703125" style="202" customWidth="1"/>
    <col min="8965" max="8965" width="13.5703125" style="202" bestFit="1" customWidth="1"/>
    <col min="8966" max="8966" width="18.5703125" style="202" customWidth="1"/>
    <col min="8967" max="8967" width="16.5703125" style="202" customWidth="1"/>
    <col min="8968" max="8968" width="13.5703125" style="202" bestFit="1" customWidth="1"/>
    <col min="8969" max="8969" width="18.85546875" style="202" customWidth="1"/>
    <col min="8970" max="8970" width="19" style="202" customWidth="1"/>
    <col min="8971" max="9215" width="9.140625" style="202"/>
    <col min="9216" max="9216" width="4.42578125" style="202" customWidth="1"/>
    <col min="9217" max="9217" width="19.5703125" style="202" customWidth="1"/>
    <col min="9218" max="9218" width="17.140625" style="202" customWidth="1"/>
    <col min="9219" max="9219" width="16.42578125" style="202" customWidth="1"/>
    <col min="9220" max="9220" width="18.5703125" style="202" customWidth="1"/>
    <col min="9221" max="9221" width="13.5703125" style="202" bestFit="1" customWidth="1"/>
    <col min="9222" max="9222" width="18.5703125" style="202" customWidth="1"/>
    <col min="9223" max="9223" width="16.5703125" style="202" customWidth="1"/>
    <col min="9224" max="9224" width="13.5703125" style="202" bestFit="1" customWidth="1"/>
    <col min="9225" max="9225" width="18.85546875" style="202" customWidth="1"/>
    <col min="9226" max="9226" width="19" style="202" customWidth="1"/>
    <col min="9227" max="9471" width="9.140625" style="202"/>
    <col min="9472" max="9472" width="4.42578125" style="202" customWidth="1"/>
    <col min="9473" max="9473" width="19.5703125" style="202" customWidth="1"/>
    <col min="9474" max="9474" width="17.140625" style="202" customWidth="1"/>
    <col min="9475" max="9475" width="16.42578125" style="202" customWidth="1"/>
    <col min="9476" max="9476" width="18.5703125" style="202" customWidth="1"/>
    <col min="9477" max="9477" width="13.5703125" style="202" bestFit="1" customWidth="1"/>
    <col min="9478" max="9478" width="18.5703125" style="202" customWidth="1"/>
    <col min="9479" max="9479" width="16.5703125" style="202" customWidth="1"/>
    <col min="9480" max="9480" width="13.5703125" style="202" bestFit="1" customWidth="1"/>
    <col min="9481" max="9481" width="18.85546875" style="202" customWidth="1"/>
    <col min="9482" max="9482" width="19" style="202" customWidth="1"/>
    <col min="9483" max="9727" width="9.140625" style="202"/>
    <col min="9728" max="9728" width="4.42578125" style="202" customWidth="1"/>
    <col min="9729" max="9729" width="19.5703125" style="202" customWidth="1"/>
    <col min="9730" max="9730" width="17.140625" style="202" customWidth="1"/>
    <col min="9731" max="9731" width="16.42578125" style="202" customWidth="1"/>
    <col min="9732" max="9732" width="18.5703125" style="202" customWidth="1"/>
    <col min="9733" max="9733" width="13.5703125" style="202" bestFit="1" customWidth="1"/>
    <col min="9734" max="9734" width="18.5703125" style="202" customWidth="1"/>
    <col min="9735" max="9735" width="16.5703125" style="202" customWidth="1"/>
    <col min="9736" max="9736" width="13.5703125" style="202" bestFit="1" customWidth="1"/>
    <col min="9737" max="9737" width="18.85546875" style="202" customWidth="1"/>
    <col min="9738" max="9738" width="19" style="202" customWidth="1"/>
    <col min="9739" max="9983" width="9.140625" style="202"/>
    <col min="9984" max="9984" width="4.42578125" style="202" customWidth="1"/>
    <col min="9985" max="9985" width="19.5703125" style="202" customWidth="1"/>
    <col min="9986" max="9986" width="17.140625" style="202" customWidth="1"/>
    <col min="9987" max="9987" width="16.42578125" style="202" customWidth="1"/>
    <col min="9988" max="9988" width="18.5703125" style="202" customWidth="1"/>
    <col min="9989" max="9989" width="13.5703125" style="202" bestFit="1" customWidth="1"/>
    <col min="9990" max="9990" width="18.5703125" style="202" customWidth="1"/>
    <col min="9991" max="9991" width="16.5703125" style="202" customWidth="1"/>
    <col min="9992" max="9992" width="13.5703125" style="202" bestFit="1" customWidth="1"/>
    <col min="9993" max="9993" width="18.85546875" style="202" customWidth="1"/>
    <col min="9994" max="9994" width="19" style="202" customWidth="1"/>
    <col min="9995" max="10239" width="9.140625" style="202"/>
    <col min="10240" max="10240" width="4.42578125" style="202" customWidth="1"/>
    <col min="10241" max="10241" width="19.5703125" style="202" customWidth="1"/>
    <col min="10242" max="10242" width="17.140625" style="202" customWidth="1"/>
    <col min="10243" max="10243" width="16.42578125" style="202" customWidth="1"/>
    <col min="10244" max="10244" width="18.5703125" style="202" customWidth="1"/>
    <col min="10245" max="10245" width="13.5703125" style="202" bestFit="1" customWidth="1"/>
    <col min="10246" max="10246" width="18.5703125" style="202" customWidth="1"/>
    <col min="10247" max="10247" width="16.5703125" style="202" customWidth="1"/>
    <col min="10248" max="10248" width="13.5703125" style="202" bestFit="1" customWidth="1"/>
    <col min="10249" max="10249" width="18.85546875" style="202" customWidth="1"/>
    <col min="10250" max="10250" width="19" style="202" customWidth="1"/>
    <col min="10251" max="10495" width="9.140625" style="202"/>
    <col min="10496" max="10496" width="4.42578125" style="202" customWidth="1"/>
    <col min="10497" max="10497" width="19.5703125" style="202" customWidth="1"/>
    <col min="10498" max="10498" width="17.140625" style="202" customWidth="1"/>
    <col min="10499" max="10499" width="16.42578125" style="202" customWidth="1"/>
    <col min="10500" max="10500" width="18.5703125" style="202" customWidth="1"/>
    <col min="10501" max="10501" width="13.5703125" style="202" bestFit="1" customWidth="1"/>
    <col min="10502" max="10502" width="18.5703125" style="202" customWidth="1"/>
    <col min="10503" max="10503" width="16.5703125" style="202" customWidth="1"/>
    <col min="10504" max="10504" width="13.5703125" style="202" bestFit="1" customWidth="1"/>
    <col min="10505" max="10505" width="18.85546875" style="202" customWidth="1"/>
    <col min="10506" max="10506" width="19" style="202" customWidth="1"/>
    <col min="10507" max="10751" width="9.140625" style="202"/>
    <col min="10752" max="10752" width="4.42578125" style="202" customWidth="1"/>
    <col min="10753" max="10753" width="19.5703125" style="202" customWidth="1"/>
    <col min="10754" max="10754" width="17.140625" style="202" customWidth="1"/>
    <col min="10755" max="10755" width="16.42578125" style="202" customWidth="1"/>
    <col min="10756" max="10756" width="18.5703125" style="202" customWidth="1"/>
    <col min="10757" max="10757" width="13.5703125" style="202" bestFit="1" customWidth="1"/>
    <col min="10758" max="10758" width="18.5703125" style="202" customWidth="1"/>
    <col min="10759" max="10759" width="16.5703125" style="202" customWidth="1"/>
    <col min="10760" max="10760" width="13.5703125" style="202" bestFit="1" customWidth="1"/>
    <col min="10761" max="10761" width="18.85546875" style="202" customWidth="1"/>
    <col min="10762" max="10762" width="19" style="202" customWidth="1"/>
    <col min="10763" max="11007" width="9.140625" style="202"/>
    <col min="11008" max="11008" width="4.42578125" style="202" customWidth="1"/>
    <col min="11009" max="11009" width="19.5703125" style="202" customWidth="1"/>
    <col min="11010" max="11010" width="17.140625" style="202" customWidth="1"/>
    <col min="11011" max="11011" width="16.42578125" style="202" customWidth="1"/>
    <col min="11012" max="11012" width="18.5703125" style="202" customWidth="1"/>
    <col min="11013" max="11013" width="13.5703125" style="202" bestFit="1" customWidth="1"/>
    <col min="11014" max="11014" width="18.5703125" style="202" customWidth="1"/>
    <col min="11015" max="11015" width="16.5703125" style="202" customWidth="1"/>
    <col min="11016" max="11016" width="13.5703125" style="202" bestFit="1" customWidth="1"/>
    <col min="11017" max="11017" width="18.85546875" style="202" customWidth="1"/>
    <col min="11018" max="11018" width="19" style="202" customWidth="1"/>
    <col min="11019" max="11263" width="9.140625" style="202"/>
    <col min="11264" max="11264" width="4.42578125" style="202" customWidth="1"/>
    <col min="11265" max="11265" width="19.5703125" style="202" customWidth="1"/>
    <col min="11266" max="11266" width="17.140625" style="202" customWidth="1"/>
    <col min="11267" max="11267" width="16.42578125" style="202" customWidth="1"/>
    <col min="11268" max="11268" width="18.5703125" style="202" customWidth="1"/>
    <col min="11269" max="11269" width="13.5703125" style="202" bestFit="1" customWidth="1"/>
    <col min="11270" max="11270" width="18.5703125" style="202" customWidth="1"/>
    <col min="11271" max="11271" width="16.5703125" style="202" customWidth="1"/>
    <col min="11272" max="11272" width="13.5703125" style="202" bestFit="1" customWidth="1"/>
    <col min="11273" max="11273" width="18.85546875" style="202" customWidth="1"/>
    <col min="11274" max="11274" width="19" style="202" customWidth="1"/>
    <col min="11275" max="11519" width="9.140625" style="202"/>
    <col min="11520" max="11520" width="4.42578125" style="202" customWidth="1"/>
    <col min="11521" max="11521" width="19.5703125" style="202" customWidth="1"/>
    <col min="11522" max="11522" width="17.140625" style="202" customWidth="1"/>
    <col min="11523" max="11523" width="16.42578125" style="202" customWidth="1"/>
    <col min="11524" max="11524" width="18.5703125" style="202" customWidth="1"/>
    <col min="11525" max="11525" width="13.5703125" style="202" bestFit="1" customWidth="1"/>
    <col min="11526" max="11526" width="18.5703125" style="202" customWidth="1"/>
    <col min="11527" max="11527" width="16.5703125" style="202" customWidth="1"/>
    <col min="11528" max="11528" width="13.5703125" style="202" bestFit="1" customWidth="1"/>
    <col min="11529" max="11529" width="18.85546875" style="202" customWidth="1"/>
    <col min="11530" max="11530" width="19" style="202" customWidth="1"/>
    <col min="11531" max="11775" width="9.140625" style="202"/>
    <col min="11776" max="11776" width="4.42578125" style="202" customWidth="1"/>
    <col min="11777" max="11777" width="19.5703125" style="202" customWidth="1"/>
    <col min="11778" max="11778" width="17.140625" style="202" customWidth="1"/>
    <col min="11779" max="11779" width="16.42578125" style="202" customWidth="1"/>
    <col min="11780" max="11780" width="18.5703125" style="202" customWidth="1"/>
    <col min="11781" max="11781" width="13.5703125" style="202" bestFit="1" customWidth="1"/>
    <col min="11782" max="11782" width="18.5703125" style="202" customWidth="1"/>
    <col min="11783" max="11783" width="16.5703125" style="202" customWidth="1"/>
    <col min="11784" max="11784" width="13.5703125" style="202" bestFit="1" customWidth="1"/>
    <col min="11785" max="11785" width="18.85546875" style="202" customWidth="1"/>
    <col min="11786" max="11786" width="19" style="202" customWidth="1"/>
    <col min="11787" max="12031" width="9.140625" style="202"/>
    <col min="12032" max="12032" width="4.42578125" style="202" customWidth="1"/>
    <col min="12033" max="12033" width="19.5703125" style="202" customWidth="1"/>
    <col min="12034" max="12034" width="17.140625" style="202" customWidth="1"/>
    <col min="12035" max="12035" width="16.42578125" style="202" customWidth="1"/>
    <col min="12036" max="12036" width="18.5703125" style="202" customWidth="1"/>
    <col min="12037" max="12037" width="13.5703125" style="202" bestFit="1" customWidth="1"/>
    <col min="12038" max="12038" width="18.5703125" style="202" customWidth="1"/>
    <col min="12039" max="12039" width="16.5703125" style="202" customWidth="1"/>
    <col min="12040" max="12040" width="13.5703125" style="202" bestFit="1" customWidth="1"/>
    <col min="12041" max="12041" width="18.85546875" style="202" customWidth="1"/>
    <col min="12042" max="12042" width="19" style="202" customWidth="1"/>
    <col min="12043" max="12287" width="9.140625" style="202"/>
    <col min="12288" max="12288" width="4.42578125" style="202" customWidth="1"/>
    <col min="12289" max="12289" width="19.5703125" style="202" customWidth="1"/>
    <col min="12290" max="12290" width="17.140625" style="202" customWidth="1"/>
    <col min="12291" max="12291" width="16.42578125" style="202" customWidth="1"/>
    <col min="12292" max="12292" width="18.5703125" style="202" customWidth="1"/>
    <col min="12293" max="12293" width="13.5703125" style="202" bestFit="1" customWidth="1"/>
    <col min="12294" max="12294" width="18.5703125" style="202" customWidth="1"/>
    <col min="12295" max="12295" width="16.5703125" style="202" customWidth="1"/>
    <col min="12296" max="12296" width="13.5703125" style="202" bestFit="1" customWidth="1"/>
    <col min="12297" max="12297" width="18.85546875" style="202" customWidth="1"/>
    <col min="12298" max="12298" width="19" style="202" customWidth="1"/>
    <col min="12299" max="12543" width="9.140625" style="202"/>
    <col min="12544" max="12544" width="4.42578125" style="202" customWidth="1"/>
    <col min="12545" max="12545" width="19.5703125" style="202" customWidth="1"/>
    <col min="12546" max="12546" width="17.140625" style="202" customWidth="1"/>
    <col min="12547" max="12547" width="16.42578125" style="202" customWidth="1"/>
    <col min="12548" max="12548" width="18.5703125" style="202" customWidth="1"/>
    <col min="12549" max="12549" width="13.5703125" style="202" bestFit="1" customWidth="1"/>
    <col min="12550" max="12550" width="18.5703125" style="202" customWidth="1"/>
    <col min="12551" max="12551" width="16.5703125" style="202" customWidth="1"/>
    <col min="12552" max="12552" width="13.5703125" style="202" bestFit="1" customWidth="1"/>
    <col min="12553" max="12553" width="18.85546875" style="202" customWidth="1"/>
    <col min="12554" max="12554" width="19" style="202" customWidth="1"/>
    <col min="12555" max="12799" width="9.140625" style="202"/>
    <col min="12800" max="12800" width="4.42578125" style="202" customWidth="1"/>
    <col min="12801" max="12801" width="19.5703125" style="202" customWidth="1"/>
    <col min="12802" max="12802" width="17.140625" style="202" customWidth="1"/>
    <col min="12803" max="12803" width="16.42578125" style="202" customWidth="1"/>
    <col min="12804" max="12804" width="18.5703125" style="202" customWidth="1"/>
    <col min="12805" max="12805" width="13.5703125" style="202" bestFit="1" customWidth="1"/>
    <col min="12806" max="12806" width="18.5703125" style="202" customWidth="1"/>
    <col min="12807" max="12807" width="16.5703125" style="202" customWidth="1"/>
    <col min="12808" max="12808" width="13.5703125" style="202" bestFit="1" customWidth="1"/>
    <col min="12809" max="12809" width="18.85546875" style="202" customWidth="1"/>
    <col min="12810" max="12810" width="19" style="202" customWidth="1"/>
    <col min="12811" max="13055" width="9.140625" style="202"/>
    <col min="13056" max="13056" width="4.42578125" style="202" customWidth="1"/>
    <col min="13057" max="13057" width="19.5703125" style="202" customWidth="1"/>
    <col min="13058" max="13058" width="17.140625" style="202" customWidth="1"/>
    <col min="13059" max="13059" width="16.42578125" style="202" customWidth="1"/>
    <col min="13060" max="13060" width="18.5703125" style="202" customWidth="1"/>
    <col min="13061" max="13061" width="13.5703125" style="202" bestFit="1" customWidth="1"/>
    <col min="13062" max="13062" width="18.5703125" style="202" customWidth="1"/>
    <col min="13063" max="13063" width="16.5703125" style="202" customWidth="1"/>
    <col min="13064" max="13064" width="13.5703125" style="202" bestFit="1" customWidth="1"/>
    <col min="13065" max="13065" width="18.85546875" style="202" customWidth="1"/>
    <col min="13066" max="13066" width="19" style="202" customWidth="1"/>
    <col min="13067" max="13311" width="9.140625" style="202"/>
    <col min="13312" max="13312" width="4.42578125" style="202" customWidth="1"/>
    <col min="13313" max="13313" width="19.5703125" style="202" customWidth="1"/>
    <col min="13314" max="13314" width="17.140625" style="202" customWidth="1"/>
    <col min="13315" max="13315" width="16.42578125" style="202" customWidth="1"/>
    <col min="13316" max="13316" width="18.5703125" style="202" customWidth="1"/>
    <col min="13317" max="13317" width="13.5703125" style="202" bestFit="1" customWidth="1"/>
    <col min="13318" max="13318" width="18.5703125" style="202" customWidth="1"/>
    <col min="13319" max="13319" width="16.5703125" style="202" customWidth="1"/>
    <col min="13320" max="13320" width="13.5703125" style="202" bestFit="1" customWidth="1"/>
    <col min="13321" max="13321" width="18.85546875" style="202" customWidth="1"/>
    <col min="13322" max="13322" width="19" style="202" customWidth="1"/>
    <col min="13323" max="13567" width="9.140625" style="202"/>
    <col min="13568" max="13568" width="4.42578125" style="202" customWidth="1"/>
    <col min="13569" max="13569" width="19.5703125" style="202" customWidth="1"/>
    <col min="13570" max="13570" width="17.140625" style="202" customWidth="1"/>
    <col min="13571" max="13571" width="16.42578125" style="202" customWidth="1"/>
    <col min="13572" max="13572" width="18.5703125" style="202" customWidth="1"/>
    <col min="13573" max="13573" width="13.5703125" style="202" bestFit="1" customWidth="1"/>
    <col min="13574" max="13574" width="18.5703125" style="202" customWidth="1"/>
    <col min="13575" max="13575" width="16.5703125" style="202" customWidth="1"/>
    <col min="13576" max="13576" width="13.5703125" style="202" bestFit="1" customWidth="1"/>
    <col min="13577" max="13577" width="18.85546875" style="202" customWidth="1"/>
    <col min="13578" max="13578" width="19" style="202" customWidth="1"/>
    <col min="13579" max="13823" width="9.140625" style="202"/>
    <col min="13824" max="13824" width="4.42578125" style="202" customWidth="1"/>
    <col min="13825" max="13825" width="19.5703125" style="202" customWidth="1"/>
    <col min="13826" max="13826" width="17.140625" style="202" customWidth="1"/>
    <col min="13827" max="13827" width="16.42578125" style="202" customWidth="1"/>
    <col min="13828" max="13828" width="18.5703125" style="202" customWidth="1"/>
    <col min="13829" max="13829" width="13.5703125" style="202" bestFit="1" customWidth="1"/>
    <col min="13830" max="13830" width="18.5703125" style="202" customWidth="1"/>
    <col min="13831" max="13831" width="16.5703125" style="202" customWidth="1"/>
    <col min="13832" max="13832" width="13.5703125" style="202" bestFit="1" customWidth="1"/>
    <col min="13833" max="13833" width="18.85546875" style="202" customWidth="1"/>
    <col min="13834" max="13834" width="19" style="202" customWidth="1"/>
    <col min="13835" max="14079" width="9.140625" style="202"/>
    <col min="14080" max="14080" width="4.42578125" style="202" customWidth="1"/>
    <col min="14081" max="14081" width="19.5703125" style="202" customWidth="1"/>
    <col min="14082" max="14082" width="17.140625" style="202" customWidth="1"/>
    <col min="14083" max="14083" width="16.42578125" style="202" customWidth="1"/>
    <col min="14084" max="14084" width="18.5703125" style="202" customWidth="1"/>
    <col min="14085" max="14085" width="13.5703125" style="202" bestFit="1" customWidth="1"/>
    <col min="14086" max="14086" width="18.5703125" style="202" customWidth="1"/>
    <col min="14087" max="14087" width="16.5703125" style="202" customWidth="1"/>
    <col min="14088" max="14088" width="13.5703125" style="202" bestFit="1" customWidth="1"/>
    <col min="14089" max="14089" width="18.85546875" style="202" customWidth="1"/>
    <col min="14090" max="14090" width="19" style="202" customWidth="1"/>
    <col min="14091" max="14335" width="9.140625" style="202"/>
    <col min="14336" max="14336" width="4.42578125" style="202" customWidth="1"/>
    <col min="14337" max="14337" width="19.5703125" style="202" customWidth="1"/>
    <col min="14338" max="14338" width="17.140625" style="202" customWidth="1"/>
    <col min="14339" max="14339" width="16.42578125" style="202" customWidth="1"/>
    <col min="14340" max="14340" width="18.5703125" style="202" customWidth="1"/>
    <col min="14341" max="14341" width="13.5703125" style="202" bestFit="1" customWidth="1"/>
    <col min="14342" max="14342" width="18.5703125" style="202" customWidth="1"/>
    <col min="14343" max="14343" width="16.5703125" style="202" customWidth="1"/>
    <col min="14344" max="14344" width="13.5703125" style="202" bestFit="1" customWidth="1"/>
    <col min="14345" max="14345" width="18.85546875" style="202" customWidth="1"/>
    <col min="14346" max="14346" width="19" style="202" customWidth="1"/>
    <col min="14347" max="14591" width="9.140625" style="202"/>
    <col min="14592" max="14592" width="4.42578125" style="202" customWidth="1"/>
    <col min="14593" max="14593" width="19.5703125" style="202" customWidth="1"/>
    <col min="14594" max="14594" width="17.140625" style="202" customWidth="1"/>
    <col min="14595" max="14595" width="16.42578125" style="202" customWidth="1"/>
    <col min="14596" max="14596" width="18.5703125" style="202" customWidth="1"/>
    <col min="14597" max="14597" width="13.5703125" style="202" bestFit="1" customWidth="1"/>
    <col min="14598" max="14598" width="18.5703125" style="202" customWidth="1"/>
    <col min="14599" max="14599" width="16.5703125" style="202" customWidth="1"/>
    <col min="14600" max="14600" width="13.5703125" style="202" bestFit="1" customWidth="1"/>
    <col min="14601" max="14601" width="18.85546875" style="202" customWidth="1"/>
    <col min="14602" max="14602" width="19" style="202" customWidth="1"/>
    <col min="14603" max="14847" width="9.140625" style="202"/>
    <col min="14848" max="14848" width="4.42578125" style="202" customWidth="1"/>
    <col min="14849" max="14849" width="19.5703125" style="202" customWidth="1"/>
    <col min="14850" max="14850" width="17.140625" style="202" customWidth="1"/>
    <col min="14851" max="14851" width="16.42578125" style="202" customWidth="1"/>
    <col min="14852" max="14852" width="18.5703125" style="202" customWidth="1"/>
    <col min="14853" max="14853" width="13.5703125" style="202" bestFit="1" customWidth="1"/>
    <col min="14854" max="14854" width="18.5703125" style="202" customWidth="1"/>
    <col min="14855" max="14855" width="16.5703125" style="202" customWidth="1"/>
    <col min="14856" max="14856" width="13.5703125" style="202" bestFit="1" customWidth="1"/>
    <col min="14857" max="14857" width="18.85546875" style="202" customWidth="1"/>
    <col min="14858" max="14858" width="19" style="202" customWidth="1"/>
    <col min="14859" max="15103" width="9.140625" style="202"/>
    <col min="15104" max="15104" width="4.42578125" style="202" customWidth="1"/>
    <col min="15105" max="15105" width="19.5703125" style="202" customWidth="1"/>
    <col min="15106" max="15106" width="17.140625" style="202" customWidth="1"/>
    <col min="15107" max="15107" width="16.42578125" style="202" customWidth="1"/>
    <col min="15108" max="15108" width="18.5703125" style="202" customWidth="1"/>
    <col min="15109" max="15109" width="13.5703125" style="202" bestFit="1" customWidth="1"/>
    <col min="15110" max="15110" width="18.5703125" style="202" customWidth="1"/>
    <col min="15111" max="15111" width="16.5703125" style="202" customWidth="1"/>
    <col min="15112" max="15112" width="13.5703125" style="202" bestFit="1" customWidth="1"/>
    <col min="15113" max="15113" width="18.85546875" style="202" customWidth="1"/>
    <col min="15114" max="15114" width="19" style="202" customWidth="1"/>
    <col min="15115" max="15359" width="9.140625" style="202"/>
    <col min="15360" max="15360" width="4.42578125" style="202" customWidth="1"/>
    <col min="15361" max="15361" width="19.5703125" style="202" customWidth="1"/>
    <col min="15362" max="15362" width="17.140625" style="202" customWidth="1"/>
    <col min="15363" max="15363" width="16.42578125" style="202" customWidth="1"/>
    <col min="15364" max="15364" width="18.5703125" style="202" customWidth="1"/>
    <col min="15365" max="15365" width="13.5703125" style="202" bestFit="1" customWidth="1"/>
    <col min="15366" max="15366" width="18.5703125" style="202" customWidth="1"/>
    <col min="15367" max="15367" width="16.5703125" style="202" customWidth="1"/>
    <col min="15368" max="15368" width="13.5703125" style="202" bestFit="1" customWidth="1"/>
    <col min="15369" max="15369" width="18.85546875" style="202" customWidth="1"/>
    <col min="15370" max="15370" width="19" style="202" customWidth="1"/>
    <col min="15371" max="15615" width="9.140625" style="202"/>
    <col min="15616" max="15616" width="4.42578125" style="202" customWidth="1"/>
    <col min="15617" max="15617" width="19.5703125" style="202" customWidth="1"/>
    <col min="15618" max="15618" width="17.140625" style="202" customWidth="1"/>
    <col min="15619" max="15619" width="16.42578125" style="202" customWidth="1"/>
    <col min="15620" max="15620" width="18.5703125" style="202" customWidth="1"/>
    <col min="15621" max="15621" width="13.5703125" style="202" bestFit="1" customWidth="1"/>
    <col min="15622" max="15622" width="18.5703125" style="202" customWidth="1"/>
    <col min="15623" max="15623" width="16.5703125" style="202" customWidth="1"/>
    <col min="15624" max="15624" width="13.5703125" style="202" bestFit="1" customWidth="1"/>
    <col min="15625" max="15625" width="18.85546875" style="202" customWidth="1"/>
    <col min="15626" max="15626" width="19" style="202" customWidth="1"/>
    <col min="15627" max="15871" width="9.140625" style="202"/>
    <col min="15872" max="15872" width="4.42578125" style="202" customWidth="1"/>
    <col min="15873" max="15873" width="19.5703125" style="202" customWidth="1"/>
    <col min="15874" max="15874" width="17.140625" style="202" customWidth="1"/>
    <col min="15875" max="15875" width="16.42578125" style="202" customWidth="1"/>
    <col min="15876" max="15876" width="18.5703125" style="202" customWidth="1"/>
    <col min="15877" max="15877" width="13.5703125" style="202" bestFit="1" customWidth="1"/>
    <col min="15878" max="15878" width="18.5703125" style="202" customWidth="1"/>
    <col min="15879" max="15879" width="16.5703125" style="202" customWidth="1"/>
    <col min="15880" max="15880" width="13.5703125" style="202" bestFit="1" customWidth="1"/>
    <col min="15881" max="15881" width="18.85546875" style="202" customWidth="1"/>
    <col min="15882" max="15882" width="19" style="202" customWidth="1"/>
    <col min="15883" max="16127" width="9.140625" style="202"/>
    <col min="16128" max="16128" width="4.42578125" style="202" customWidth="1"/>
    <col min="16129" max="16129" width="19.5703125" style="202" customWidth="1"/>
    <col min="16130" max="16130" width="17.140625" style="202" customWidth="1"/>
    <col min="16131" max="16131" width="16.42578125" style="202" customWidth="1"/>
    <col min="16132" max="16132" width="18.5703125" style="202" customWidth="1"/>
    <col min="16133" max="16133" width="13.5703125" style="202" bestFit="1" customWidth="1"/>
    <col min="16134" max="16134" width="18.5703125" style="202" customWidth="1"/>
    <col min="16135" max="16135" width="16.5703125" style="202" customWidth="1"/>
    <col min="16136" max="16136" width="13.5703125" style="202" bestFit="1" customWidth="1"/>
    <col min="16137" max="16137" width="18.85546875" style="202" customWidth="1"/>
    <col min="16138" max="16138" width="19" style="202" customWidth="1"/>
    <col min="16139" max="16384" width="9.140625" style="202"/>
  </cols>
  <sheetData>
    <row r="2" spans="2:10" ht="20.25" customHeight="1" x14ac:dyDescent="0.2">
      <c r="B2" s="533" t="s">
        <v>257</v>
      </c>
      <c r="C2" s="533"/>
      <c r="D2" s="533"/>
      <c r="E2" s="533"/>
      <c r="F2" s="533"/>
      <c r="G2" s="533"/>
      <c r="H2" s="533"/>
      <c r="I2" s="533"/>
      <c r="J2" s="533"/>
    </row>
    <row r="3" spans="2:10" ht="28.5" customHeight="1" x14ac:dyDescent="0.2">
      <c r="B3" s="534" t="s">
        <v>258</v>
      </c>
      <c r="C3" s="534"/>
      <c r="D3" s="534"/>
      <c r="E3" s="534"/>
      <c r="F3" s="534"/>
      <c r="G3" s="534"/>
      <c r="H3" s="534"/>
      <c r="I3" s="534"/>
      <c r="J3" s="534"/>
    </row>
    <row r="4" spans="2:10" x14ac:dyDescent="0.2">
      <c r="J4" s="203" t="s">
        <v>21</v>
      </c>
    </row>
    <row r="5" spans="2:10" ht="13.5" thickBot="1" x14ac:dyDescent="0.25">
      <c r="J5" s="204" t="s">
        <v>259</v>
      </c>
    </row>
    <row r="6" spans="2:10" ht="27.75" customHeight="1" x14ac:dyDescent="0.2">
      <c r="B6" s="529" t="s">
        <v>260</v>
      </c>
      <c r="C6" s="531" t="s">
        <v>273</v>
      </c>
      <c r="D6" s="531"/>
      <c r="E6" s="531" t="s">
        <v>261</v>
      </c>
      <c r="F6" s="531"/>
      <c r="G6" s="531"/>
      <c r="H6" s="531" t="s">
        <v>262</v>
      </c>
      <c r="I6" s="531"/>
      <c r="J6" s="532"/>
    </row>
    <row r="7" spans="2:10" ht="78" customHeight="1" x14ac:dyDescent="0.2">
      <c r="B7" s="530"/>
      <c r="C7" s="205" t="s">
        <v>263</v>
      </c>
      <c r="D7" s="205" t="s">
        <v>264</v>
      </c>
      <c r="E7" s="205" t="s">
        <v>263</v>
      </c>
      <c r="F7" s="206" t="s">
        <v>275</v>
      </c>
      <c r="G7" s="206" t="s">
        <v>268</v>
      </c>
      <c r="H7" s="205" t="s">
        <v>263</v>
      </c>
      <c r="I7" s="205" t="s">
        <v>276</v>
      </c>
      <c r="J7" s="207" t="s">
        <v>279</v>
      </c>
    </row>
    <row r="8" spans="2:10" ht="15.75" customHeight="1" x14ac:dyDescent="0.2">
      <c r="B8" s="208" t="s">
        <v>5</v>
      </c>
      <c r="C8" s="209">
        <v>1597</v>
      </c>
      <c r="D8" s="209">
        <v>1352500</v>
      </c>
      <c r="E8" s="209">
        <v>1501</v>
      </c>
      <c r="F8" s="228">
        <v>1261000</v>
      </c>
      <c r="G8" s="209">
        <v>1205288.3999999999</v>
      </c>
      <c r="H8" s="209">
        <v>96</v>
      </c>
      <c r="I8" s="209">
        <f>D8-F8</f>
        <v>91500</v>
      </c>
      <c r="J8" s="210">
        <f>D8-G8</f>
        <v>147211.60000000009</v>
      </c>
    </row>
    <row r="9" spans="2:10" ht="15.75" customHeight="1" x14ac:dyDescent="0.2">
      <c r="B9" s="208" t="s">
        <v>6</v>
      </c>
      <c r="C9" s="209">
        <v>1597</v>
      </c>
      <c r="D9" s="209">
        <v>1352500</v>
      </c>
      <c r="E9" s="209">
        <v>1507</v>
      </c>
      <c r="F9" s="228">
        <v>1267500</v>
      </c>
      <c r="G9" s="209">
        <f>'[1]დანართი 1'!I14</f>
        <v>1243057.49</v>
      </c>
      <c r="H9" s="209">
        <v>90</v>
      </c>
      <c r="I9" s="209">
        <f t="shared" ref="I9:I19" si="0">D9-F9</f>
        <v>85000</v>
      </c>
      <c r="J9" s="210">
        <f t="shared" ref="J9:J19" si="1">D9-G9</f>
        <v>109442.51000000001</v>
      </c>
    </row>
    <row r="10" spans="2:10" ht="15.75" customHeight="1" x14ac:dyDescent="0.2">
      <c r="B10" s="208" t="s">
        <v>7</v>
      </c>
      <c r="C10" s="209">
        <v>1597</v>
      </c>
      <c r="D10" s="209">
        <v>1352500</v>
      </c>
      <c r="E10" s="209">
        <v>1501</v>
      </c>
      <c r="F10" s="228">
        <v>1263250</v>
      </c>
      <c r="G10" s="209">
        <f>'[1]დანართი 1'!J14</f>
        <v>1232624.82</v>
      </c>
      <c r="H10" s="209">
        <v>96</v>
      </c>
      <c r="I10" s="209">
        <f t="shared" si="0"/>
        <v>89250</v>
      </c>
      <c r="J10" s="210">
        <f t="shared" si="1"/>
        <v>119875.17999999993</v>
      </c>
    </row>
    <row r="11" spans="2:10" ht="15.75" customHeight="1" x14ac:dyDescent="0.2">
      <c r="B11" s="208" t="s">
        <v>8</v>
      </c>
      <c r="C11" s="209">
        <v>1597</v>
      </c>
      <c r="D11" s="209">
        <v>1352500</v>
      </c>
      <c r="E11" s="209">
        <v>1493</v>
      </c>
      <c r="F11" s="228">
        <v>1256900</v>
      </c>
      <c r="G11" s="209">
        <v>1234863.6499999999</v>
      </c>
      <c r="H11" s="209">
        <f>C11-E11</f>
        <v>104</v>
      </c>
      <c r="I11" s="209">
        <f t="shared" si="0"/>
        <v>95600</v>
      </c>
      <c r="J11" s="210">
        <f t="shared" si="1"/>
        <v>117636.35000000009</v>
      </c>
    </row>
    <row r="12" spans="2:10" ht="15.75" customHeight="1" x14ac:dyDescent="0.2">
      <c r="B12" s="208" t="s">
        <v>9</v>
      </c>
      <c r="C12" s="209">
        <v>1600</v>
      </c>
      <c r="D12" s="209">
        <v>1355650</v>
      </c>
      <c r="E12" s="209">
        <v>1494</v>
      </c>
      <c r="F12" s="228">
        <v>1252400</v>
      </c>
      <c r="G12" s="209">
        <f>1225927.18-7998.65</f>
        <v>1217928.53</v>
      </c>
      <c r="H12" s="209">
        <f t="shared" ref="H12:H19" si="2">C12-E12</f>
        <v>106</v>
      </c>
      <c r="I12" s="209">
        <f t="shared" si="0"/>
        <v>103250</v>
      </c>
      <c r="J12" s="210">
        <f t="shared" si="1"/>
        <v>137721.46999999997</v>
      </c>
    </row>
    <row r="13" spans="2:10" ht="15.75" customHeight="1" x14ac:dyDescent="0.2">
      <c r="B13" s="208" t="s">
        <v>10</v>
      </c>
      <c r="C13" s="209">
        <v>1600</v>
      </c>
      <c r="D13" s="209">
        <v>1355650</v>
      </c>
      <c r="E13" s="209">
        <f>1600-111</f>
        <v>1489</v>
      </c>
      <c r="F13" s="228">
        <f>D13-103400</f>
        <v>1252250</v>
      </c>
      <c r="G13" s="209">
        <v>1221506.55</v>
      </c>
      <c r="H13" s="209">
        <f t="shared" si="2"/>
        <v>111</v>
      </c>
      <c r="I13" s="209">
        <f t="shared" si="0"/>
        <v>103400</v>
      </c>
      <c r="J13" s="210">
        <f t="shared" si="1"/>
        <v>134143.44999999995</v>
      </c>
    </row>
    <row r="14" spans="2:10" ht="15.75" customHeight="1" x14ac:dyDescent="0.2">
      <c r="B14" s="208" t="s">
        <v>11</v>
      </c>
      <c r="C14" s="209">
        <v>1600</v>
      </c>
      <c r="D14" s="209">
        <v>1355650</v>
      </c>
      <c r="E14" s="209">
        <v>1482</v>
      </c>
      <c r="F14" s="228">
        <v>1252000</v>
      </c>
      <c r="G14" s="209">
        <v>1262182.8400000001</v>
      </c>
      <c r="H14" s="209">
        <f t="shared" si="2"/>
        <v>118</v>
      </c>
      <c r="I14" s="209">
        <f t="shared" si="0"/>
        <v>103650</v>
      </c>
      <c r="J14" s="210">
        <f t="shared" si="1"/>
        <v>93467.159999999916</v>
      </c>
    </row>
    <row r="15" spans="2:10" ht="15.75" customHeight="1" x14ac:dyDescent="0.2">
      <c r="B15" s="208" t="s">
        <v>12</v>
      </c>
      <c r="C15" s="209">
        <v>1600</v>
      </c>
      <c r="D15" s="209">
        <v>1355650</v>
      </c>
      <c r="E15" s="209">
        <v>1481</v>
      </c>
      <c r="F15" s="228">
        <v>1252150</v>
      </c>
      <c r="G15" s="209">
        <v>1202966.3700000001</v>
      </c>
      <c r="H15" s="209">
        <f t="shared" si="2"/>
        <v>119</v>
      </c>
      <c r="I15" s="209">
        <f t="shared" si="0"/>
        <v>103500</v>
      </c>
      <c r="J15" s="210">
        <f t="shared" si="1"/>
        <v>152683.62999999989</v>
      </c>
    </row>
    <row r="16" spans="2:10" ht="15.75" customHeight="1" x14ac:dyDescent="0.2">
      <c r="B16" s="208" t="s">
        <v>13</v>
      </c>
      <c r="C16" s="209">
        <v>1600</v>
      </c>
      <c r="D16" s="209">
        <v>1355650</v>
      </c>
      <c r="E16" s="209">
        <v>1474</v>
      </c>
      <c r="F16" s="228">
        <v>1246550</v>
      </c>
      <c r="G16" s="209">
        <v>1191677.0900000001</v>
      </c>
      <c r="H16" s="209">
        <f t="shared" si="2"/>
        <v>126</v>
      </c>
      <c r="I16" s="209">
        <f t="shared" si="0"/>
        <v>109100</v>
      </c>
      <c r="J16" s="210">
        <f t="shared" si="1"/>
        <v>163972.90999999992</v>
      </c>
    </row>
    <row r="17" spans="2:12" ht="15.75" customHeight="1" x14ac:dyDescent="0.2">
      <c r="B17" s="208" t="s">
        <v>14</v>
      </c>
      <c r="C17" s="209">
        <v>1740</v>
      </c>
      <c r="D17" s="209">
        <v>1538050</v>
      </c>
      <c r="E17" s="209">
        <v>1616</v>
      </c>
      <c r="F17" s="228">
        <v>1425100</v>
      </c>
      <c r="G17" s="209">
        <f>1219815</f>
        <v>1219815</v>
      </c>
      <c r="H17" s="209">
        <f t="shared" si="2"/>
        <v>124</v>
      </c>
      <c r="I17" s="209">
        <f t="shared" si="0"/>
        <v>112950</v>
      </c>
      <c r="J17" s="210">
        <f t="shared" si="1"/>
        <v>318235</v>
      </c>
    </row>
    <row r="18" spans="2:12" ht="15.75" customHeight="1" x14ac:dyDescent="0.2">
      <c r="B18" s="208" t="s">
        <v>15</v>
      </c>
      <c r="C18" s="209">
        <v>1740</v>
      </c>
      <c r="D18" s="209">
        <v>1538050</v>
      </c>
      <c r="E18" s="209">
        <v>1609</v>
      </c>
      <c r="F18" s="228">
        <v>1414850</v>
      </c>
      <c r="G18" s="209">
        <f>1209430</f>
        <v>1209430</v>
      </c>
      <c r="H18" s="209">
        <f t="shared" si="2"/>
        <v>131</v>
      </c>
      <c r="I18" s="209">
        <f t="shared" si="0"/>
        <v>123200</v>
      </c>
      <c r="J18" s="210">
        <f t="shared" si="1"/>
        <v>328620</v>
      </c>
    </row>
    <row r="19" spans="2:12" ht="15.75" customHeight="1" thickBot="1" x14ac:dyDescent="0.25">
      <c r="B19" s="211" t="s">
        <v>16</v>
      </c>
      <c r="C19" s="209">
        <v>1740</v>
      </c>
      <c r="D19" s="209">
        <v>1538050</v>
      </c>
      <c r="E19" s="212">
        <v>1606</v>
      </c>
      <c r="F19" s="228">
        <v>1408100</v>
      </c>
      <c r="G19" s="209">
        <f>1217835</f>
        <v>1217835</v>
      </c>
      <c r="H19" s="209">
        <f t="shared" si="2"/>
        <v>134</v>
      </c>
      <c r="I19" s="209">
        <f t="shared" si="0"/>
        <v>129950</v>
      </c>
      <c r="J19" s="210">
        <f t="shared" si="1"/>
        <v>320215</v>
      </c>
    </row>
    <row r="20" spans="2:12" ht="15.75" customHeight="1" thickBot="1" x14ac:dyDescent="0.3">
      <c r="B20" s="213" t="s">
        <v>265</v>
      </c>
      <c r="C20" s="214"/>
      <c r="D20" s="215">
        <f>SUM(D8:D19)</f>
        <v>16802400</v>
      </c>
      <c r="E20" s="216"/>
      <c r="F20" s="216">
        <f>SUM(F8:F19)</f>
        <v>15552050</v>
      </c>
      <c r="G20" s="215">
        <f>SUM(G8:G19)</f>
        <v>14659175.739999998</v>
      </c>
      <c r="H20" s="216"/>
      <c r="I20" s="216">
        <f>SUM(I8:I19)</f>
        <v>1250350</v>
      </c>
      <c r="J20" s="217">
        <f>SUM(J8:J19)</f>
        <v>2143224.2599999998</v>
      </c>
    </row>
    <row r="21" spans="2:12" ht="45.75" thickBot="1" x14ac:dyDescent="0.25">
      <c r="B21" s="206" t="s">
        <v>281</v>
      </c>
      <c r="C21" s="218"/>
      <c r="D21" s="218"/>
    </row>
    <row r="23" spans="2:12" x14ac:dyDescent="0.2">
      <c r="J23" s="203" t="s">
        <v>47</v>
      </c>
    </row>
    <row r="24" spans="2:12" ht="13.5" thickBot="1" x14ac:dyDescent="0.25">
      <c r="J24" s="204" t="s">
        <v>259</v>
      </c>
    </row>
    <row r="25" spans="2:12" ht="65.25" customHeight="1" x14ac:dyDescent="0.2">
      <c r="B25" s="529" t="s">
        <v>260</v>
      </c>
      <c r="C25" s="531" t="s">
        <v>301</v>
      </c>
      <c r="D25" s="531"/>
      <c r="E25" s="531" t="s">
        <v>261</v>
      </c>
      <c r="F25" s="531"/>
      <c r="G25" s="531"/>
      <c r="H25" s="531" t="s">
        <v>272</v>
      </c>
      <c r="I25" s="531"/>
      <c r="J25" s="532"/>
    </row>
    <row r="26" spans="2:12" ht="96" customHeight="1" x14ac:dyDescent="0.2">
      <c r="B26" s="530"/>
      <c r="C26" s="205" t="s">
        <v>263</v>
      </c>
      <c r="D26" s="205" t="s">
        <v>266</v>
      </c>
      <c r="E26" s="205" t="s">
        <v>263</v>
      </c>
      <c r="F26" s="206" t="s">
        <v>277</v>
      </c>
      <c r="G26" s="206" t="s">
        <v>267</v>
      </c>
      <c r="H26" s="205" t="s">
        <v>263</v>
      </c>
      <c r="I26" s="205" t="s">
        <v>278</v>
      </c>
      <c r="J26" s="207" t="s">
        <v>280</v>
      </c>
    </row>
    <row r="27" spans="2:12" ht="15.75" customHeight="1" x14ac:dyDescent="0.2">
      <c r="B27" s="229" t="s">
        <v>5</v>
      </c>
      <c r="C27" s="230">
        <f>SUM(C28:C33)</f>
        <v>1169</v>
      </c>
      <c r="D27" s="230">
        <f t="shared" ref="D27:G27" si="3">SUM(D28:D33)</f>
        <v>2390500</v>
      </c>
      <c r="E27" s="230">
        <f t="shared" si="3"/>
        <v>804</v>
      </c>
      <c r="F27" s="230">
        <f t="shared" si="3"/>
        <v>1090153</v>
      </c>
      <c r="G27" s="230">
        <f t="shared" si="3"/>
        <v>505019.33999999997</v>
      </c>
      <c r="H27" s="209">
        <f>C27-E27</f>
        <v>365</v>
      </c>
      <c r="I27" s="209">
        <f>D27-F27</f>
        <v>1300347</v>
      </c>
      <c r="J27" s="210">
        <f>D27-G27</f>
        <v>1885480.6600000001</v>
      </c>
      <c r="L27" s="233"/>
    </row>
    <row r="28" spans="2:12" ht="15.75" customHeight="1" x14ac:dyDescent="0.2">
      <c r="B28" s="208">
        <v>35010401</v>
      </c>
      <c r="C28" s="230">
        <v>300</v>
      </c>
      <c r="D28" s="230">
        <f>C28*2000</f>
        <v>600000</v>
      </c>
      <c r="E28" s="231">
        <v>118</v>
      </c>
      <c r="F28" s="209">
        <v>73928</v>
      </c>
      <c r="G28" s="232">
        <v>71992.5</v>
      </c>
      <c r="H28" s="209">
        <f t="shared" ref="H28:I43" si="4">C28-E28</f>
        <v>182</v>
      </c>
      <c r="I28" s="209">
        <f t="shared" si="4"/>
        <v>526072</v>
      </c>
      <c r="J28" s="210">
        <f t="shared" ref="J28:J89" si="5">D28-G28</f>
        <v>528007.5</v>
      </c>
    </row>
    <row r="29" spans="2:12" ht="15.75" customHeight="1" x14ac:dyDescent="0.2">
      <c r="B29" s="208">
        <v>350202</v>
      </c>
      <c r="C29" s="230">
        <v>484</v>
      </c>
      <c r="D29" s="230">
        <f t="shared" ref="D29:D33" si="6">C29*2000</f>
        <v>968000</v>
      </c>
      <c r="E29" s="231">
        <v>350</v>
      </c>
      <c r="F29" s="209">
        <f>350*2000</f>
        <v>700000</v>
      </c>
      <c r="G29" s="232">
        <v>129649.34</v>
      </c>
      <c r="H29" s="209">
        <f t="shared" si="4"/>
        <v>134</v>
      </c>
      <c r="I29" s="209">
        <f t="shared" si="4"/>
        <v>268000</v>
      </c>
      <c r="J29" s="210">
        <f t="shared" si="5"/>
        <v>838350.66</v>
      </c>
    </row>
    <row r="30" spans="2:12" ht="15.75" customHeight="1" x14ac:dyDescent="0.2">
      <c r="B30" s="208">
        <v>350301</v>
      </c>
      <c r="C30" s="230">
        <v>315</v>
      </c>
      <c r="D30" s="230">
        <f>300*2000+15*5500</f>
        <v>682500</v>
      </c>
      <c r="E30" s="231">
        <v>285</v>
      </c>
      <c r="F30" s="209">
        <f>218525+49800</f>
        <v>268325</v>
      </c>
      <c r="G30" s="232">
        <v>258867.5</v>
      </c>
      <c r="H30" s="209">
        <f t="shared" si="4"/>
        <v>30</v>
      </c>
      <c r="I30" s="209">
        <f t="shared" si="4"/>
        <v>414175</v>
      </c>
      <c r="J30" s="210">
        <f t="shared" si="5"/>
        <v>423632.5</v>
      </c>
    </row>
    <row r="31" spans="2:12" ht="15.75" customHeight="1" x14ac:dyDescent="0.2">
      <c r="B31" s="208" t="s">
        <v>302</v>
      </c>
      <c r="C31" s="230">
        <v>30</v>
      </c>
      <c r="D31" s="230">
        <f t="shared" si="6"/>
        <v>60000</v>
      </c>
      <c r="E31" s="231">
        <v>17</v>
      </c>
      <c r="F31" s="209">
        <v>15700</v>
      </c>
      <c r="G31" s="232">
        <v>14510</v>
      </c>
      <c r="H31" s="209">
        <f t="shared" si="4"/>
        <v>13</v>
      </c>
      <c r="I31" s="209">
        <f t="shared" si="4"/>
        <v>44300</v>
      </c>
      <c r="J31" s="210">
        <f t="shared" si="5"/>
        <v>45490</v>
      </c>
    </row>
    <row r="32" spans="2:12" ht="15.75" customHeight="1" x14ac:dyDescent="0.2">
      <c r="B32" s="208" t="s">
        <v>304</v>
      </c>
      <c r="C32" s="230">
        <v>4</v>
      </c>
      <c r="D32" s="230">
        <f t="shared" si="6"/>
        <v>8000</v>
      </c>
      <c r="E32" s="231">
        <v>0</v>
      </c>
      <c r="F32" s="209">
        <v>0</v>
      </c>
      <c r="G32" s="232"/>
      <c r="H32" s="209">
        <f t="shared" si="4"/>
        <v>4</v>
      </c>
      <c r="I32" s="209">
        <f t="shared" si="4"/>
        <v>8000</v>
      </c>
      <c r="J32" s="210">
        <f t="shared" si="5"/>
        <v>8000</v>
      </c>
    </row>
    <row r="33" spans="2:10" ht="15.75" customHeight="1" x14ac:dyDescent="0.2">
      <c r="B33" s="208" t="s">
        <v>303</v>
      </c>
      <c r="C33" s="230">
        <v>36</v>
      </c>
      <c r="D33" s="230">
        <f t="shared" si="6"/>
        <v>72000</v>
      </c>
      <c r="E33" s="231">
        <v>34</v>
      </c>
      <c r="F33" s="209">
        <v>32200</v>
      </c>
      <c r="G33" s="232">
        <v>30000</v>
      </c>
      <c r="H33" s="209">
        <f t="shared" si="4"/>
        <v>2</v>
      </c>
      <c r="I33" s="209">
        <f t="shared" si="4"/>
        <v>39800</v>
      </c>
      <c r="J33" s="210">
        <f t="shared" si="5"/>
        <v>42000</v>
      </c>
    </row>
    <row r="34" spans="2:10" ht="15.75" customHeight="1" x14ac:dyDescent="0.2">
      <c r="B34" s="229" t="s">
        <v>6</v>
      </c>
      <c r="C34" s="230">
        <f>SUM(C35:C40)</f>
        <v>1169</v>
      </c>
      <c r="D34" s="230">
        <f t="shared" ref="D34:G34" si="7">SUM(D35:D40)</f>
        <v>2390500</v>
      </c>
      <c r="E34" s="230">
        <f t="shared" si="7"/>
        <v>800</v>
      </c>
      <c r="F34" s="230">
        <f t="shared" si="7"/>
        <v>1090853</v>
      </c>
      <c r="G34" s="230">
        <f t="shared" si="7"/>
        <v>509817.23</v>
      </c>
      <c r="H34" s="209">
        <f t="shared" si="4"/>
        <v>369</v>
      </c>
      <c r="I34" s="209">
        <f t="shared" si="4"/>
        <v>1299647</v>
      </c>
      <c r="J34" s="210">
        <f t="shared" si="5"/>
        <v>1880682.77</v>
      </c>
    </row>
    <row r="35" spans="2:10" ht="15.75" customHeight="1" x14ac:dyDescent="0.2">
      <c r="B35" s="208">
        <v>35010401</v>
      </c>
      <c r="C35" s="230">
        <v>300</v>
      </c>
      <c r="D35" s="230">
        <f>C35*2000</f>
        <v>600000</v>
      </c>
      <c r="E35" s="231">
        <v>116</v>
      </c>
      <c r="F35" s="209">
        <v>72328</v>
      </c>
      <c r="G35" s="234">
        <f>70053+3050</f>
        <v>73103</v>
      </c>
      <c r="H35" s="209">
        <v>184</v>
      </c>
      <c r="I35" s="209">
        <f t="shared" si="4"/>
        <v>527672</v>
      </c>
      <c r="J35" s="210">
        <f t="shared" si="5"/>
        <v>526897</v>
      </c>
    </row>
    <row r="36" spans="2:10" ht="15.75" customHeight="1" x14ac:dyDescent="0.2">
      <c r="B36" s="208">
        <v>350202</v>
      </c>
      <c r="C36" s="230">
        <v>484</v>
      </c>
      <c r="D36" s="230">
        <f t="shared" ref="D36:D40" si="8">C36*2000</f>
        <v>968000</v>
      </c>
      <c r="E36" s="231">
        <v>350</v>
      </c>
      <c r="F36" s="209">
        <f>350*2000</f>
        <v>700000</v>
      </c>
      <c r="G36" s="234">
        <v>147804.23000000001</v>
      </c>
      <c r="H36" s="209">
        <f t="shared" si="4"/>
        <v>134</v>
      </c>
      <c r="I36" s="209">
        <f t="shared" si="4"/>
        <v>268000</v>
      </c>
      <c r="J36" s="210">
        <f t="shared" si="5"/>
        <v>820195.77</v>
      </c>
    </row>
    <row r="37" spans="2:10" ht="15.75" customHeight="1" x14ac:dyDescent="0.2">
      <c r="B37" s="208">
        <v>350301</v>
      </c>
      <c r="C37" s="230">
        <v>315</v>
      </c>
      <c r="D37" s="230">
        <f>300*2000+15*5500</f>
        <v>682500</v>
      </c>
      <c r="E37" s="231">
        <v>283</v>
      </c>
      <c r="F37" s="209">
        <f>220825+49800</f>
        <v>270625</v>
      </c>
      <c r="G37" s="234">
        <v>245405</v>
      </c>
      <c r="H37" s="209">
        <f t="shared" si="4"/>
        <v>32</v>
      </c>
      <c r="I37" s="209">
        <f t="shared" si="4"/>
        <v>411875</v>
      </c>
      <c r="J37" s="210">
        <f t="shared" si="5"/>
        <v>437095</v>
      </c>
    </row>
    <row r="38" spans="2:10" ht="15.75" customHeight="1" x14ac:dyDescent="0.2">
      <c r="B38" s="208" t="s">
        <v>302</v>
      </c>
      <c r="C38" s="230">
        <v>30</v>
      </c>
      <c r="D38" s="230">
        <f t="shared" si="8"/>
        <v>60000</v>
      </c>
      <c r="E38" s="231">
        <v>17</v>
      </c>
      <c r="F38" s="209">
        <v>15700</v>
      </c>
      <c r="G38" s="234">
        <v>14000</v>
      </c>
      <c r="H38" s="209">
        <f t="shared" si="4"/>
        <v>13</v>
      </c>
      <c r="I38" s="209">
        <f t="shared" si="4"/>
        <v>44300</v>
      </c>
      <c r="J38" s="210">
        <f t="shared" si="5"/>
        <v>46000</v>
      </c>
    </row>
    <row r="39" spans="2:10" ht="15.75" customHeight="1" x14ac:dyDescent="0.2">
      <c r="B39" s="208" t="s">
        <v>304</v>
      </c>
      <c r="C39" s="230">
        <v>4</v>
      </c>
      <c r="D39" s="230">
        <f t="shared" si="8"/>
        <v>8000</v>
      </c>
      <c r="E39" s="231">
        <v>0</v>
      </c>
      <c r="F39" s="209">
        <v>0</v>
      </c>
      <c r="G39" s="234"/>
      <c r="H39" s="209">
        <f t="shared" si="4"/>
        <v>4</v>
      </c>
      <c r="I39" s="209">
        <f t="shared" si="4"/>
        <v>8000</v>
      </c>
      <c r="J39" s="210">
        <f t="shared" si="5"/>
        <v>8000</v>
      </c>
    </row>
    <row r="40" spans="2:10" ht="15.75" customHeight="1" x14ac:dyDescent="0.2">
      <c r="B40" s="208" t="s">
        <v>303</v>
      </c>
      <c r="C40" s="230">
        <v>36</v>
      </c>
      <c r="D40" s="230">
        <f t="shared" si="8"/>
        <v>72000</v>
      </c>
      <c r="E40" s="231">
        <v>34</v>
      </c>
      <c r="F40" s="209">
        <v>32200</v>
      </c>
      <c r="G40" s="234">
        <f>29130+375</f>
        <v>29505</v>
      </c>
      <c r="H40" s="209">
        <f t="shared" si="4"/>
        <v>2</v>
      </c>
      <c r="I40" s="209">
        <f t="shared" si="4"/>
        <v>39800</v>
      </c>
      <c r="J40" s="210">
        <f t="shared" si="5"/>
        <v>42495</v>
      </c>
    </row>
    <row r="41" spans="2:10" ht="15.75" customHeight="1" x14ac:dyDescent="0.2">
      <c r="B41" s="229" t="s">
        <v>7</v>
      </c>
      <c r="C41" s="230">
        <f>SUM(C42:C47)</f>
        <v>1169</v>
      </c>
      <c r="D41" s="230">
        <f t="shared" ref="D41:G41" si="9">SUM(D42:D47)</f>
        <v>2390500</v>
      </c>
      <c r="E41" s="230">
        <f t="shared" si="9"/>
        <v>802</v>
      </c>
      <c r="F41" s="230">
        <f t="shared" si="9"/>
        <v>1094203</v>
      </c>
      <c r="G41" s="230">
        <f t="shared" si="9"/>
        <v>513893.71</v>
      </c>
      <c r="H41" s="209">
        <f t="shared" si="4"/>
        <v>367</v>
      </c>
      <c r="I41" s="209">
        <f t="shared" si="4"/>
        <v>1296297</v>
      </c>
      <c r="J41" s="210">
        <f t="shared" si="5"/>
        <v>1876606.29</v>
      </c>
    </row>
    <row r="42" spans="2:10" ht="15.75" customHeight="1" x14ac:dyDescent="0.2">
      <c r="B42" s="208">
        <v>35010401</v>
      </c>
      <c r="C42" s="230">
        <v>300</v>
      </c>
      <c r="D42" s="230">
        <f>C42*2000</f>
        <v>600000</v>
      </c>
      <c r="E42" s="231">
        <v>116</v>
      </c>
      <c r="F42" s="209">
        <v>72328</v>
      </c>
      <c r="G42" s="234">
        <v>70342.289999999994</v>
      </c>
      <c r="H42" s="209">
        <f t="shared" si="4"/>
        <v>184</v>
      </c>
      <c r="I42" s="209">
        <f t="shared" si="4"/>
        <v>527672</v>
      </c>
      <c r="J42" s="210">
        <f t="shared" si="5"/>
        <v>529657.71</v>
      </c>
    </row>
    <row r="43" spans="2:10" ht="15.75" customHeight="1" x14ac:dyDescent="0.2">
      <c r="B43" s="208">
        <v>350202</v>
      </c>
      <c r="C43" s="230">
        <v>484</v>
      </c>
      <c r="D43" s="230">
        <f t="shared" ref="D43:D47" si="10">C43*2000</f>
        <v>968000</v>
      </c>
      <c r="E43" s="231">
        <v>351</v>
      </c>
      <c r="F43" s="209">
        <f>351*2000</f>
        <v>702000</v>
      </c>
      <c r="G43" s="234">
        <v>140010.26</v>
      </c>
      <c r="H43" s="209">
        <f t="shared" si="4"/>
        <v>133</v>
      </c>
      <c r="I43" s="209">
        <f t="shared" si="4"/>
        <v>266000</v>
      </c>
      <c r="J43" s="210">
        <f t="shared" si="5"/>
        <v>827989.74</v>
      </c>
    </row>
    <row r="44" spans="2:10" ht="15.75" customHeight="1" x14ac:dyDescent="0.2">
      <c r="B44" s="208">
        <v>350301</v>
      </c>
      <c r="C44" s="230">
        <v>315</v>
      </c>
      <c r="D44" s="230">
        <f>300*2000+15*5500</f>
        <v>682500</v>
      </c>
      <c r="E44" s="231">
        <v>284</v>
      </c>
      <c r="F44" s="209">
        <f>222175+49800</f>
        <v>271975</v>
      </c>
      <c r="G44" s="234">
        <v>258807.12</v>
      </c>
      <c r="H44" s="209">
        <f t="shared" ref="H44:I59" si="11">C44-E44</f>
        <v>31</v>
      </c>
      <c r="I44" s="209">
        <f t="shared" si="11"/>
        <v>410525</v>
      </c>
      <c r="J44" s="210">
        <f t="shared" si="5"/>
        <v>423692.88</v>
      </c>
    </row>
    <row r="45" spans="2:10" ht="15.75" customHeight="1" x14ac:dyDescent="0.2">
      <c r="B45" s="208" t="s">
        <v>302</v>
      </c>
      <c r="C45" s="230">
        <v>30</v>
      </c>
      <c r="D45" s="230">
        <f t="shared" si="10"/>
        <v>60000</v>
      </c>
      <c r="E45" s="231">
        <v>17</v>
      </c>
      <c r="F45" s="209">
        <v>15700</v>
      </c>
      <c r="G45" s="234">
        <v>14283.33</v>
      </c>
      <c r="H45" s="209">
        <f t="shared" si="11"/>
        <v>13</v>
      </c>
      <c r="I45" s="209">
        <f t="shared" si="11"/>
        <v>44300</v>
      </c>
      <c r="J45" s="210">
        <f t="shared" si="5"/>
        <v>45716.67</v>
      </c>
    </row>
    <row r="46" spans="2:10" ht="15.75" customHeight="1" x14ac:dyDescent="0.2">
      <c r="B46" s="208" t="s">
        <v>304</v>
      </c>
      <c r="C46" s="230">
        <v>4</v>
      </c>
      <c r="D46" s="230">
        <f t="shared" si="10"/>
        <v>8000</v>
      </c>
      <c r="E46" s="231">
        <v>0</v>
      </c>
      <c r="F46" s="209">
        <v>0</v>
      </c>
      <c r="G46" s="234"/>
      <c r="H46" s="209">
        <f t="shared" si="11"/>
        <v>4</v>
      </c>
      <c r="I46" s="209">
        <f t="shared" si="11"/>
        <v>8000</v>
      </c>
      <c r="J46" s="210">
        <f t="shared" si="5"/>
        <v>8000</v>
      </c>
    </row>
    <row r="47" spans="2:10" ht="15.75" customHeight="1" x14ac:dyDescent="0.2">
      <c r="B47" s="208" t="s">
        <v>303</v>
      </c>
      <c r="C47" s="230">
        <v>36</v>
      </c>
      <c r="D47" s="230">
        <f t="shared" si="10"/>
        <v>72000</v>
      </c>
      <c r="E47" s="231">
        <v>34</v>
      </c>
      <c r="F47" s="209">
        <v>32200</v>
      </c>
      <c r="G47" s="234">
        <v>30450.71</v>
      </c>
      <c r="H47" s="209">
        <f t="shared" si="11"/>
        <v>2</v>
      </c>
      <c r="I47" s="209">
        <f t="shared" si="11"/>
        <v>39800</v>
      </c>
      <c r="J47" s="210">
        <f t="shared" si="5"/>
        <v>41549.29</v>
      </c>
    </row>
    <row r="48" spans="2:10" ht="15.75" customHeight="1" x14ac:dyDescent="0.2">
      <c r="B48" s="229" t="s">
        <v>8</v>
      </c>
      <c r="C48" s="230">
        <f>SUM(C49:C54)</f>
        <v>1169</v>
      </c>
      <c r="D48" s="230">
        <f t="shared" ref="D48:G48" si="12">SUM(D49:D54)</f>
        <v>2390500</v>
      </c>
      <c r="E48" s="230">
        <f t="shared" si="12"/>
        <v>802</v>
      </c>
      <c r="F48" s="230">
        <f t="shared" si="12"/>
        <v>1092503</v>
      </c>
      <c r="G48" s="230">
        <f t="shared" si="12"/>
        <v>516592.88</v>
      </c>
      <c r="H48" s="209">
        <f t="shared" si="11"/>
        <v>367</v>
      </c>
      <c r="I48" s="209">
        <f t="shared" si="11"/>
        <v>1297997</v>
      </c>
      <c r="J48" s="210">
        <f t="shared" si="5"/>
        <v>1873907.12</v>
      </c>
    </row>
    <row r="49" spans="2:10" ht="15.75" customHeight="1" x14ac:dyDescent="0.2">
      <c r="B49" s="208">
        <v>35010401</v>
      </c>
      <c r="C49" s="230">
        <v>300</v>
      </c>
      <c r="D49" s="230">
        <f>C49*2000</f>
        <v>600000</v>
      </c>
      <c r="E49" s="231">
        <v>116</v>
      </c>
      <c r="F49" s="209">
        <v>72328</v>
      </c>
      <c r="G49" s="234">
        <v>70342.289999999994</v>
      </c>
      <c r="H49" s="209">
        <f t="shared" si="11"/>
        <v>184</v>
      </c>
      <c r="I49" s="209">
        <f t="shared" si="11"/>
        <v>527672</v>
      </c>
      <c r="J49" s="210">
        <f t="shared" si="5"/>
        <v>529657.71</v>
      </c>
    </row>
    <row r="50" spans="2:10" ht="15.75" customHeight="1" x14ac:dyDescent="0.2">
      <c r="B50" s="208">
        <v>350202</v>
      </c>
      <c r="C50" s="230">
        <v>484</v>
      </c>
      <c r="D50" s="230">
        <f t="shared" ref="D50" si="13">C50*2000</f>
        <v>968000</v>
      </c>
      <c r="E50" s="231">
        <v>351</v>
      </c>
      <c r="F50" s="209">
        <f>351*2000</f>
        <v>702000</v>
      </c>
      <c r="G50" s="234">
        <v>142709.43</v>
      </c>
      <c r="H50" s="209">
        <f t="shared" si="11"/>
        <v>133</v>
      </c>
      <c r="I50" s="209">
        <f t="shared" si="11"/>
        <v>266000</v>
      </c>
      <c r="J50" s="210">
        <f t="shared" si="5"/>
        <v>825290.57000000007</v>
      </c>
    </row>
    <row r="51" spans="2:10" ht="15.75" customHeight="1" x14ac:dyDescent="0.2">
      <c r="B51" s="208">
        <v>350301</v>
      </c>
      <c r="C51" s="230">
        <v>315</v>
      </c>
      <c r="D51" s="230">
        <f>300*2000+15*5500</f>
        <v>682500</v>
      </c>
      <c r="E51" s="231">
        <v>284</v>
      </c>
      <c r="F51" s="209">
        <f>222175+49800</f>
        <v>271975</v>
      </c>
      <c r="G51" s="234">
        <v>258807.12</v>
      </c>
      <c r="H51" s="209">
        <f t="shared" si="11"/>
        <v>31</v>
      </c>
      <c r="I51" s="209">
        <f t="shared" si="11"/>
        <v>410525</v>
      </c>
      <c r="J51" s="210">
        <f t="shared" si="5"/>
        <v>423692.88</v>
      </c>
    </row>
    <row r="52" spans="2:10" ht="15.75" customHeight="1" x14ac:dyDescent="0.2">
      <c r="B52" s="208" t="s">
        <v>302</v>
      </c>
      <c r="C52" s="230">
        <v>30</v>
      </c>
      <c r="D52" s="230">
        <f t="shared" ref="D52:D54" si="14">C52*2000</f>
        <v>60000</v>
      </c>
      <c r="E52" s="231">
        <v>17</v>
      </c>
      <c r="F52" s="209">
        <v>15700</v>
      </c>
      <c r="G52" s="234">
        <v>14283.33</v>
      </c>
      <c r="H52" s="209">
        <f t="shared" si="11"/>
        <v>13</v>
      </c>
      <c r="I52" s="209">
        <f t="shared" si="11"/>
        <v>44300</v>
      </c>
      <c r="J52" s="210">
        <f t="shared" si="5"/>
        <v>45716.67</v>
      </c>
    </row>
    <row r="53" spans="2:10" ht="15.75" customHeight="1" x14ac:dyDescent="0.2">
      <c r="B53" s="208" t="s">
        <v>304</v>
      </c>
      <c r="C53" s="230">
        <v>4</v>
      </c>
      <c r="D53" s="230">
        <f t="shared" si="14"/>
        <v>8000</v>
      </c>
      <c r="E53" s="231">
        <v>0</v>
      </c>
      <c r="F53" s="209">
        <v>0</v>
      </c>
      <c r="G53" s="234"/>
      <c r="H53" s="209">
        <f t="shared" si="11"/>
        <v>4</v>
      </c>
      <c r="I53" s="209">
        <f t="shared" si="11"/>
        <v>8000</v>
      </c>
      <c r="J53" s="210">
        <f t="shared" si="5"/>
        <v>8000</v>
      </c>
    </row>
    <row r="54" spans="2:10" ht="15.75" customHeight="1" x14ac:dyDescent="0.2">
      <c r="B54" s="208" t="s">
        <v>303</v>
      </c>
      <c r="C54" s="230">
        <v>36</v>
      </c>
      <c r="D54" s="230">
        <f t="shared" si="14"/>
        <v>72000</v>
      </c>
      <c r="E54" s="231">
        <v>34</v>
      </c>
      <c r="F54" s="209">
        <v>30500</v>
      </c>
      <c r="G54" s="234">
        <v>30450.71</v>
      </c>
      <c r="H54" s="209">
        <f t="shared" si="11"/>
        <v>2</v>
      </c>
      <c r="I54" s="209">
        <f t="shared" si="11"/>
        <v>41500</v>
      </c>
      <c r="J54" s="210">
        <f t="shared" si="5"/>
        <v>41549.29</v>
      </c>
    </row>
    <row r="55" spans="2:10" ht="15.75" customHeight="1" x14ac:dyDescent="0.2">
      <c r="B55" s="229" t="s">
        <v>9</v>
      </c>
      <c r="C55" s="230">
        <f>SUM(C56:C61)</f>
        <v>1169</v>
      </c>
      <c r="D55" s="230">
        <f t="shared" ref="D55:G55" si="15">SUM(D56:D61)</f>
        <v>2390500</v>
      </c>
      <c r="E55" s="230">
        <f t="shared" si="15"/>
        <v>791</v>
      </c>
      <c r="F55" s="230">
        <f t="shared" si="15"/>
        <v>1075303</v>
      </c>
      <c r="G55" s="230">
        <f t="shared" si="15"/>
        <v>506699.36000000004</v>
      </c>
      <c r="H55" s="209">
        <f t="shared" si="11"/>
        <v>378</v>
      </c>
      <c r="I55" s="209">
        <f t="shared" si="11"/>
        <v>1315197</v>
      </c>
      <c r="J55" s="210">
        <f t="shared" si="5"/>
        <v>1883800.64</v>
      </c>
    </row>
    <row r="56" spans="2:10" ht="15.75" customHeight="1" x14ac:dyDescent="0.2">
      <c r="B56" s="208">
        <v>35010401</v>
      </c>
      <c r="C56" s="230">
        <v>300</v>
      </c>
      <c r="D56" s="230">
        <f>C56*2000</f>
        <v>600000</v>
      </c>
      <c r="E56" s="231">
        <v>122</v>
      </c>
      <c r="F56" s="209">
        <v>85128</v>
      </c>
      <c r="G56" s="234">
        <v>78546.2</v>
      </c>
      <c r="H56" s="209">
        <f t="shared" si="11"/>
        <v>178</v>
      </c>
      <c r="I56" s="209">
        <f t="shared" si="11"/>
        <v>514872</v>
      </c>
      <c r="J56" s="210">
        <f t="shared" si="5"/>
        <v>521453.8</v>
      </c>
    </row>
    <row r="57" spans="2:10" ht="15.75" customHeight="1" x14ac:dyDescent="0.2">
      <c r="B57" s="208">
        <v>350202</v>
      </c>
      <c r="C57" s="230">
        <v>484</v>
      </c>
      <c r="D57" s="230">
        <f t="shared" ref="D57" si="16">C57*2000</f>
        <v>968000</v>
      </c>
      <c r="E57" s="231">
        <v>336</v>
      </c>
      <c r="F57" s="209">
        <f>336*2000</f>
        <v>672000</v>
      </c>
      <c r="G57" s="234">
        <v>122653.18</v>
      </c>
      <c r="H57" s="209">
        <f t="shared" si="11"/>
        <v>148</v>
      </c>
      <c r="I57" s="209">
        <f t="shared" si="11"/>
        <v>296000</v>
      </c>
      <c r="J57" s="210">
        <f t="shared" si="5"/>
        <v>845346.82000000007</v>
      </c>
    </row>
    <row r="58" spans="2:10" ht="15.75" customHeight="1" x14ac:dyDescent="0.2">
      <c r="B58" s="208">
        <v>350301</v>
      </c>
      <c r="C58" s="230">
        <v>315</v>
      </c>
      <c r="D58" s="230">
        <f>300*2000+15*5500</f>
        <v>682500</v>
      </c>
      <c r="E58" s="231">
        <v>283</v>
      </c>
      <c r="F58" s="209">
        <f>222175+49800</f>
        <v>271975</v>
      </c>
      <c r="G58" s="234">
        <v>260527.26</v>
      </c>
      <c r="H58" s="209">
        <f t="shared" si="11"/>
        <v>32</v>
      </c>
      <c r="I58" s="209">
        <f t="shared" si="11"/>
        <v>410525</v>
      </c>
      <c r="J58" s="210">
        <f t="shared" si="5"/>
        <v>421972.74</v>
      </c>
    </row>
    <row r="59" spans="2:10" ht="15.75" customHeight="1" x14ac:dyDescent="0.2">
      <c r="B59" s="208" t="s">
        <v>302</v>
      </c>
      <c r="C59" s="230">
        <v>30</v>
      </c>
      <c r="D59" s="230">
        <f t="shared" ref="D59:D61" si="17">C59*2000</f>
        <v>60000</v>
      </c>
      <c r="E59" s="231">
        <v>17</v>
      </c>
      <c r="F59" s="209">
        <v>15700</v>
      </c>
      <c r="G59" s="234">
        <v>14427.27</v>
      </c>
      <c r="H59" s="209">
        <f t="shared" si="11"/>
        <v>13</v>
      </c>
      <c r="I59" s="209">
        <f t="shared" si="11"/>
        <v>44300</v>
      </c>
      <c r="J59" s="210">
        <f t="shared" si="5"/>
        <v>45572.729999999996</v>
      </c>
    </row>
    <row r="60" spans="2:10" ht="15.75" customHeight="1" x14ac:dyDescent="0.2">
      <c r="B60" s="208" t="s">
        <v>304</v>
      </c>
      <c r="C60" s="230">
        <v>4</v>
      </c>
      <c r="D60" s="230">
        <f t="shared" si="17"/>
        <v>8000</v>
      </c>
      <c r="E60" s="231">
        <v>1</v>
      </c>
      <c r="F60" s="209">
        <v>0</v>
      </c>
      <c r="G60" s="234">
        <v>1000</v>
      </c>
      <c r="H60" s="209">
        <f t="shared" ref="H60:I75" si="18">C60-E60</f>
        <v>3</v>
      </c>
      <c r="I60" s="209">
        <f t="shared" si="18"/>
        <v>8000</v>
      </c>
      <c r="J60" s="210">
        <f t="shared" si="5"/>
        <v>7000</v>
      </c>
    </row>
    <row r="61" spans="2:10" ht="15.75" customHeight="1" x14ac:dyDescent="0.2">
      <c r="B61" s="208" t="s">
        <v>303</v>
      </c>
      <c r="C61" s="230">
        <v>36</v>
      </c>
      <c r="D61" s="230">
        <f t="shared" si="17"/>
        <v>72000</v>
      </c>
      <c r="E61" s="231">
        <v>32</v>
      </c>
      <c r="F61" s="209">
        <v>30500</v>
      </c>
      <c r="G61" s="234">
        <v>29545.45</v>
      </c>
      <c r="H61" s="209">
        <f t="shared" si="18"/>
        <v>4</v>
      </c>
      <c r="I61" s="209">
        <f t="shared" si="18"/>
        <v>41500</v>
      </c>
      <c r="J61" s="210">
        <f t="shared" si="5"/>
        <v>42454.55</v>
      </c>
    </row>
    <row r="62" spans="2:10" ht="15.75" customHeight="1" x14ac:dyDescent="0.2">
      <c r="B62" s="229" t="s">
        <v>10</v>
      </c>
      <c r="C62" s="230">
        <f>SUM(C63:C68)</f>
        <v>1169</v>
      </c>
      <c r="D62" s="230">
        <f t="shared" ref="D62:G62" si="19">SUM(D63:D68)</f>
        <v>2390500</v>
      </c>
      <c r="E62" s="230">
        <f t="shared" si="19"/>
        <v>793</v>
      </c>
      <c r="F62" s="230">
        <f t="shared" si="19"/>
        <v>1085078</v>
      </c>
      <c r="G62" s="230">
        <f t="shared" si="19"/>
        <v>538260.75</v>
      </c>
      <c r="H62" s="209">
        <f t="shared" si="18"/>
        <v>376</v>
      </c>
      <c r="I62" s="209">
        <f t="shared" si="18"/>
        <v>1305422</v>
      </c>
      <c r="J62" s="210">
        <f t="shared" si="5"/>
        <v>1852239.25</v>
      </c>
    </row>
    <row r="63" spans="2:10" ht="15.75" customHeight="1" x14ac:dyDescent="0.2">
      <c r="B63" s="208">
        <v>35010401</v>
      </c>
      <c r="C63" s="230">
        <v>300</v>
      </c>
      <c r="D63" s="230">
        <f>C63*2000</f>
        <v>600000</v>
      </c>
      <c r="E63" s="231">
        <v>126</v>
      </c>
      <c r="F63" s="209">
        <v>93228</v>
      </c>
      <c r="G63" s="234">
        <v>90240.34</v>
      </c>
      <c r="H63" s="209">
        <f t="shared" si="18"/>
        <v>174</v>
      </c>
      <c r="I63" s="209">
        <f t="shared" si="18"/>
        <v>506772</v>
      </c>
      <c r="J63" s="210">
        <f t="shared" si="5"/>
        <v>509759.66000000003</v>
      </c>
    </row>
    <row r="64" spans="2:10" ht="15.75" customHeight="1" x14ac:dyDescent="0.2">
      <c r="B64" s="208">
        <v>350202</v>
      </c>
      <c r="C64" s="230">
        <v>484</v>
      </c>
      <c r="D64" s="230">
        <f t="shared" ref="D64" si="20">C64*2000</f>
        <v>968000</v>
      </c>
      <c r="E64" s="231">
        <v>334</v>
      </c>
      <c r="F64" s="209">
        <f>334*2000</f>
        <v>668000</v>
      </c>
      <c r="G64" s="234">
        <v>134535.13</v>
      </c>
      <c r="H64" s="209">
        <f t="shared" si="18"/>
        <v>150</v>
      </c>
      <c r="I64" s="209">
        <f t="shared" si="18"/>
        <v>300000</v>
      </c>
      <c r="J64" s="210">
        <f t="shared" si="5"/>
        <v>833464.87</v>
      </c>
    </row>
    <row r="65" spans="2:10" ht="15.75" customHeight="1" x14ac:dyDescent="0.2">
      <c r="B65" s="208">
        <v>350301</v>
      </c>
      <c r="C65" s="230">
        <v>315</v>
      </c>
      <c r="D65" s="230">
        <f>300*2000+15*5500</f>
        <v>682500</v>
      </c>
      <c r="E65" s="231">
        <f>268+15</f>
        <v>283</v>
      </c>
      <c r="F65" s="209">
        <v>276650</v>
      </c>
      <c r="G65" s="234">
        <v>266571</v>
      </c>
      <c r="H65" s="209">
        <f t="shared" si="18"/>
        <v>32</v>
      </c>
      <c r="I65" s="209">
        <f t="shared" si="18"/>
        <v>405850</v>
      </c>
      <c r="J65" s="210">
        <f t="shared" si="5"/>
        <v>415929</v>
      </c>
    </row>
    <row r="66" spans="2:10" ht="15.75" customHeight="1" x14ac:dyDescent="0.2">
      <c r="B66" s="208" t="s">
        <v>302</v>
      </c>
      <c r="C66" s="230">
        <v>30</v>
      </c>
      <c r="D66" s="230">
        <f t="shared" ref="D66:D68" si="21">C66*2000</f>
        <v>60000</v>
      </c>
      <c r="E66" s="231">
        <v>17</v>
      </c>
      <c r="F66" s="209">
        <v>15700</v>
      </c>
      <c r="G66" s="234">
        <v>15700</v>
      </c>
      <c r="H66" s="209">
        <f t="shared" si="18"/>
        <v>13</v>
      </c>
      <c r="I66" s="209">
        <f t="shared" si="18"/>
        <v>44300</v>
      </c>
      <c r="J66" s="210">
        <f t="shared" si="5"/>
        <v>44300</v>
      </c>
    </row>
    <row r="67" spans="2:10" ht="15.75" customHeight="1" x14ac:dyDescent="0.2">
      <c r="B67" s="208" t="s">
        <v>304</v>
      </c>
      <c r="C67" s="230">
        <v>4</v>
      </c>
      <c r="D67" s="230">
        <f t="shared" si="21"/>
        <v>8000</v>
      </c>
      <c r="E67" s="231">
        <v>1</v>
      </c>
      <c r="F67" s="209">
        <v>1000</v>
      </c>
      <c r="G67" s="234">
        <v>1000</v>
      </c>
      <c r="H67" s="209">
        <f t="shared" si="18"/>
        <v>3</v>
      </c>
      <c r="I67" s="209">
        <f t="shared" si="18"/>
        <v>7000</v>
      </c>
      <c r="J67" s="210">
        <f t="shared" si="5"/>
        <v>7000</v>
      </c>
    </row>
    <row r="68" spans="2:10" ht="15.75" customHeight="1" x14ac:dyDescent="0.2">
      <c r="B68" s="208" t="s">
        <v>303</v>
      </c>
      <c r="C68" s="230">
        <v>36</v>
      </c>
      <c r="D68" s="230">
        <f t="shared" si="21"/>
        <v>72000</v>
      </c>
      <c r="E68" s="231">
        <v>32</v>
      </c>
      <c r="F68" s="209">
        <v>30500</v>
      </c>
      <c r="G68" s="234">
        <v>30214.28</v>
      </c>
      <c r="H68" s="209">
        <f t="shared" si="18"/>
        <v>4</v>
      </c>
      <c r="I68" s="209">
        <f t="shared" si="18"/>
        <v>41500</v>
      </c>
      <c r="J68" s="210">
        <f t="shared" si="5"/>
        <v>41785.72</v>
      </c>
    </row>
    <row r="69" spans="2:10" ht="15.75" customHeight="1" x14ac:dyDescent="0.2">
      <c r="B69" s="229" t="s">
        <v>11</v>
      </c>
      <c r="C69" s="230">
        <f>SUM(C70:C75)</f>
        <v>1169</v>
      </c>
      <c r="D69" s="230">
        <f t="shared" ref="D69:G69" si="22">SUM(D70:D75)</f>
        <v>2390500</v>
      </c>
      <c r="E69" s="230">
        <f t="shared" si="22"/>
        <v>790</v>
      </c>
      <c r="F69" s="230">
        <f t="shared" si="22"/>
        <v>1085658</v>
      </c>
      <c r="G69" s="230">
        <f t="shared" si="22"/>
        <v>557244.93999999994</v>
      </c>
      <c r="H69" s="209">
        <f t="shared" si="18"/>
        <v>379</v>
      </c>
      <c r="I69" s="209">
        <f t="shared" si="18"/>
        <v>1304842</v>
      </c>
      <c r="J69" s="210">
        <f t="shared" si="5"/>
        <v>1833255.06</v>
      </c>
    </row>
    <row r="70" spans="2:10" ht="15.75" customHeight="1" x14ac:dyDescent="0.2">
      <c r="B70" s="208">
        <v>35010401</v>
      </c>
      <c r="C70" s="230">
        <v>300</v>
      </c>
      <c r="D70" s="230">
        <f>C70*2000</f>
        <v>600000</v>
      </c>
      <c r="E70" s="231">
        <v>126</v>
      </c>
      <c r="F70" s="209">
        <v>94258</v>
      </c>
      <c r="G70" s="234">
        <v>91020.12</v>
      </c>
      <c r="H70" s="209">
        <f t="shared" si="18"/>
        <v>174</v>
      </c>
      <c r="I70" s="209">
        <f t="shared" si="18"/>
        <v>505742</v>
      </c>
      <c r="J70" s="210">
        <f t="shared" si="5"/>
        <v>508979.88</v>
      </c>
    </row>
    <row r="71" spans="2:10" ht="15.75" customHeight="1" x14ac:dyDescent="0.2">
      <c r="B71" s="208">
        <v>350202</v>
      </c>
      <c r="C71" s="230">
        <v>484</v>
      </c>
      <c r="D71" s="230">
        <f t="shared" ref="D71" si="23">C71*2000</f>
        <v>968000</v>
      </c>
      <c r="E71" s="231">
        <v>330</v>
      </c>
      <c r="F71" s="209">
        <f>334*2000</f>
        <v>668000</v>
      </c>
      <c r="G71" s="234">
        <v>151272.62</v>
      </c>
      <c r="H71" s="209">
        <f t="shared" si="18"/>
        <v>154</v>
      </c>
      <c r="I71" s="209">
        <f t="shared" si="18"/>
        <v>300000</v>
      </c>
      <c r="J71" s="210">
        <f t="shared" si="5"/>
        <v>816727.38</v>
      </c>
    </row>
    <row r="72" spans="2:10" ht="15.75" customHeight="1" x14ac:dyDescent="0.2">
      <c r="B72" s="208">
        <v>350301</v>
      </c>
      <c r="C72" s="230">
        <v>315</v>
      </c>
      <c r="D72" s="230">
        <f>300*2000+15*5500</f>
        <v>682500</v>
      </c>
      <c r="E72" s="231">
        <v>282</v>
      </c>
      <c r="F72" s="209">
        <v>274500</v>
      </c>
      <c r="G72" s="234">
        <v>268352.19</v>
      </c>
      <c r="H72" s="209">
        <f t="shared" si="18"/>
        <v>33</v>
      </c>
      <c r="I72" s="209">
        <f t="shared" si="18"/>
        <v>408000</v>
      </c>
      <c r="J72" s="210">
        <f t="shared" si="5"/>
        <v>414147.81</v>
      </c>
    </row>
    <row r="73" spans="2:10" ht="15.75" customHeight="1" x14ac:dyDescent="0.2">
      <c r="B73" s="208" t="s">
        <v>302</v>
      </c>
      <c r="C73" s="230">
        <v>30</v>
      </c>
      <c r="D73" s="230">
        <f t="shared" ref="D73:D75" si="24">C73*2000</f>
        <v>60000</v>
      </c>
      <c r="E73" s="231">
        <v>17</v>
      </c>
      <c r="F73" s="209">
        <v>15700</v>
      </c>
      <c r="G73" s="234">
        <v>15313.64</v>
      </c>
      <c r="H73" s="209">
        <f t="shared" si="18"/>
        <v>13</v>
      </c>
      <c r="I73" s="209">
        <f t="shared" si="18"/>
        <v>44300</v>
      </c>
      <c r="J73" s="210">
        <f t="shared" si="5"/>
        <v>44686.36</v>
      </c>
    </row>
    <row r="74" spans="2:10" ht="15.75" customHeight="1" x14ac:dyDescent="0.2">
      <c r="B74" s="208" t="s">
        <v>304</v>
      </c>
      <c r="C74" s="230">
        <v>4</v>
      </c>
      <c r="D74" s="230">
        <f t="shared" si="24"/>
        <v>8000</v>
      </c>
      <c r="E74" s="231">
        <v>1</v>
      </c>
      <c r="F74" s="209">
        <v>1000</v>
      </c>
      <c r="G74" s="234">
        <v>1000</v>
      </c>
      <c r="H74" s="209">
        <f t="shared" si="18"/>
        <v>3</v>
      </c>
      <c r="I74" s="209">
        <f t="shared" si="18"/>
        <v>7000</v>
      </c>
      <c r="J74" s="210">
        <f t="shared" si="5"/>
        <v>7000</v>
      </c>
    </row>
    <row r="75" spans="2:10" ht="15.75" customHeight="1" x14ac:dyDescent="0.2">
      <c r="B75" s="208" t="s">
        <v>303</v>
      </c>
      <c r="C75" s="230">
        <v>36</v>
      </c>
      <c r="D75" s="230">
        <f t="shared" si="24"/>
        <v>72000</v>
      </c>
      <c r="E75" s="231">
        <v>34</v>
      </c>
      <c r="F75" s="209">
        <v>32200</v>
      </c>
      <c r="G75" s="234">
        <v>30286.37</v>
      </c>
      <c r="H75" s="209">
        <f t="shared" si="18"/>
        <v>2</v>
      </c>
      <c r="I75" s="209">
        <f t="shared" si="18"/>
        <v>39800</v>
      </c>
      <c r="J75" s="210">
        <f t="shared" si="5"/>
        <v>41713.630000000005</v>
      </c>
    </row>
    <row r="76" spans="2:10" ht="15.75" customHeight="1" x14ac:dyDescent="0.2">
      <c r="B76" s="229" t="s">
        <v>12</v>
      </c>
      <c r="C76" s="230">
        <f>SUM(C77:C82)</f>
        <v>1169</v>
      </c>
      <c r="D76" s="230">
        <f t="shared" ref="D76:G76" si="25">SUM(D77:D82)</f>
        <v>2390500</v>
      </c>
      <c r="E76" s="230">
        <f t="shared" si="25"/>
        <v>777</v>
      </c>
      <c r="F76" s="230">
        <f t="shared" si="25"/>
        <v>1078208</v>
      </c>
      <c r="G76" s="230">
        <f t="shared" si="25"/>
        <v>606045.43000000005</v>
      </c>
      <c r="H76" s="209">
        <f t="shared" ref="H76:I89" si="26">C76-E76</f>
        <v>392</v>
      </c>
      <c r="I76" s="209">
        <f t="shared" si="26"/>
        <v>1312292</v>
      </c>
      <c r="J76" s="210">
        <f t="shared" si="5"/>
        <v>1784454.5699999998</v>
      </c>
    </row>
    <row r="77" spans="2:10" ht="15.75" customHeight="1" x14ac:dyDescent="0.2">
      <c r="B77" s="208">
        <v>35010401</v>
      </c>
      <c r="C77" s="230">
        <v>300</v>
      </c>
      <c r="D77" s="230">
        <f>C77*2000</f>
        <v>600000</v>
      </c>
      <c r="E77" s="231">
        <v>126</v>
      </c>
      <c r="F77" s="209">
        <v>94408</v>
      </c>
      <c r="G77" s="234">
        <v>94789.82</v>
      </c>
      <c r="H77" s="209">
        <f t="shared" si="26"/>
        <v>174</v>
      </c>
      <c r="I77" s="209">
        <f t="shared" si="26"/>
        <v>505592</v>
      </c>
      <c r="J77" s="210">
        <f t="shared" si="5"/>
        <v>505210.18</v>
      </c>
    </row>
    <row r="78" spans="2:10" ht="15.75" customHeight="1" x14ac:dyDescent="0.2">
      <c r="B78" s="208">
        <v>350202</v>
      </c>
      <c r="C78" s="230">
        <v>484</v>
      </c>
      <c r="D78" s="230">
        <f t="shared" ref="D78" si="27">C78*2000</f>
        <v>968000</v>
      </c>
      <c r="E78" s="231">
        <v>322</v>
      </c>
      <c r="F78" s="209">
        <f>334*2000</f>
        <v>668000</v>
      </c>
      <c r="G78" s="234">
        <v>203227.21</v>
      </c>
      <c r="H78" s="209">
        <f t="shared" si="26"/>
        <v>162</v>
      </c>
      <c r="I78" s="209">
        <f t="shared" si="26"/>
        <v>300000</v>
      </c>
      <c r="J78" s="210">
        <f t="shared" si="5"/>
        <v>764772.79</v>
      </c>
    </row>
    <row r="79" spans="2:10" ht="15.75" customHeight="1" x14ac:dyDescent="0.2">
      <c r="B79" s="208">
        <v>350301</v>
      </c>
      <c r="C79" s="230">
        <v>315</v>
      </c>
      <c r="D79" s="230">
        <f>300*2000+15*5500</f>
        <v>682500</v>
      </c>
      <c r="E79" s="231">
        <v>278</v>
      </c>
      <c r="F79" s="209">
        <v>267900</v>
      </c>
      <c r="G79" s="234">
        <v>261128.4</v>
      </c>
      <c r="H79" s="209">
        <f t="shared" si="26"/>
        <v>37</v>
      </c>
      <c r="I79" s="209">
        <f t="shared" si="26"/>
        <v>414600</v>
      </c>
      <c r="J79" s="210">
        <f t="shared" si="5"/>
        <v>421371.6</v>
      </c>
    </row>
    <row r="80" spans="2:10" ht="15.75" customHeight="1" x14ac:dyDescent="0.2">
      <c r="B80" s="208" t="s">
        <v>302</v>
      </c>
      <c r="C80" s="230">
        <v>30</v>
      </c>
      <c r="D80" s="230">
        <f t="shared" ref="D80:D82" si="28">C80*2000</f>
        <v>60000</v>
      </c>
      <c r="E80" s="231">
        <v>17</v>
      </c>
      <c r="F80" s="209">
        <v>15700</v>
      </c>
      <c r="G80" s="234">
        <v>15700</v>
      </c>
      <c r="H80" s="209">
        <f t="shared" si="26"/>
        <v>13</v>
      </c>
      <c r="I80" s="209">
        <f t="shared" si="26"/>
        <v>44300</v>
      </c>
      <c r="J80" s="210">
        <f t="shared" si="5"/>
        <v>44300</v>
      </c>
    </row>
    <row r="81" spans="2:10" ht="15.75" customHeight="1" x14ac:dyDescent="0.2">
      <c r="B81" s="208" t="s">
        <v>304</v>
      </c>
      <c r="C81" s="230">
        <v>4</v>
      </c>
      <c r="D81" s="230">
        <f t="shared" si="28"/>
        <v>8000</v>
      </c>
      <c r="E81" s="231">
        <v>1</v>
      </c>
      <c r="F81" s="209">
        <v>1000</v>
      </c>
      <c r="G81" s="234">
        <v>1000</v>
      </c>
      <c r="H81" s="209">
        <f t="shared" si="26"/>
        <v>3</v>
      </c>
      <c r="I81" s="209">
        <f t="shared" si="26"/>
        <v>7000</v>
      </c>
      <c r="J81" s="210">
        <f t="shared" si="5"/>
        <v>7000</v>
      </c>
    </row>
    <row r="82" spans="2:10" ht="15.75" customHeight="1" x14ac:dyDescent="0.2">
      <c r="B82" s="208" t="s">
        <v>303</v>
      </c>
      <c r="C82" s="230">
        <v>36</v>
      </c>
      <c r="D82" s="230">
        <f t="shared" si="28"/>
        <v>72000</v>
      </c>
      <c r="E82" s="231">
        <v>33</v>
      </c>
      <c r="F82" s="209">
        <v>31200</v>
      </c>
      <c r="G82" s="234">
        <v>30200</v>
      </c>
      <c r="H82" s="209">
        <f t="shared" si="26"/>
        <v>3</v>
      </c>
      <c r="I82" s="209">
        <f t="shared" si="26"/>
        <v>40800</v>
      </c>
      <c r="J82" s="210">
        <f t="shared" si="5"/>
        <v>41800</v>
      </c>
    </row>
    <row r="83" spans="2:10" ht="15.75" customHeight="1" x14ac:dyDescent="0.2">
      <c r="B83" s="229" t="s">
        <v>13</v>
      </c>
      <c r="C83" s="230">
        <f>SUM(C84:C89)</f>
        <v>1169</v>
      </c>
      <c r="D83" s="230">
        <f t="shared" ref="D83:G83" si="29">SUM(D84:D89)</f>
        <v>2390500</v>
      </c>
      <c r="E83" s="230">
        <f t="shared" si="29"/>
        <v>774</v>
      </c>
      <c r="F83" s="230">
        <f t="shared" si="29"/>
        <v>1074528</v>
      </c>
      <c r="G83" s="230">
        <f t="shared" si="29"/>
        <v>603422.11</v>
      </c>
      <c r="H83" s="209">
        <f t="shared" si="26"/>
        <v>395</v>
      </c>
      <c r="I83" s="209">
        <f t="shared" si="26"/>
        <v>1315972</v>
      </c>
      <c r="J83" s="210">
        <f t="shared" si="5"/>
        <v>1787077.8900000001</v>
      </c>
    </row>
    <row r="84" spans="2:10" ht="15.75" customHeight="1" x14ac:dyDescent="0.2">
      <c r="B84" s="208">
        <v>35010401</v>
      </c>
      <c r="C84" s="230">
        <v>300</v>
      </c>
      <c r="D84" s="230">
        <f>C84*2000</f>
        <v>600000</v>
      </c>
      <c r="E84" s="231">
        <v>126</v>
      </c>
      <c r="F84" s="209">
        <v>93378</v>
      </c>
      <c r="G84" s="234">
        <v>91438</v>
      </c>
      <c r="H84" s="209">
        <f t="shared" si="26"/>
        <v>174</v>
      </c>
      <c r="I84" s="209">
        <f t="shared" si="26"/>
        <v>506622</v>
      </c>
      <c r="J84" s="210">
        <f t="shared" si="5"/>
        <v>508562</v>
      </c>
    </row>
    <row r="85" spans="2:10" ht="15.75" customHeight="1" x14ac:dyDescent="0.2">
      <c r="B85" s="208">
        <v>350202</v>
      </c>
      <c r="C85" s="230">
        <v>484</v>
      </c>
      <c r="D85" s="230">
        <f t="shared" ref="D85" si="30">C85*2000</f>
        <v>968000</v>
      </c>
      <c r="E85" s="231">
        <v>321</v>
      </c>
      <c r="F85" s="209">
        <f>334*2000</f>
        <v>668000</v>
      </c>
      <c r="G85" s="234">
        <v>206747.86</v>
      </c>
      <c r="H85" s="209">
        <f t="shared" si="26"/>
        <v>163</v>
      </c>
      <c r="I85" s="209">
        <f t="shared" si="26"/>
        <v>300000</v>
      </c>
      <c r="J85" s="210">
        <f t="shared" si="5"/>
        <v>761252.14</v>
      </c>
    </row>
    <row r="86" spans="2:10" ht="15.75" customHeight="1" x14ac:dyDescent="0.2">
      <c r="B86" s="208">
        <v>350301</v>
      </c>
      <c r="C86" s="230">
        <v>315</v>
      </c>
      <c r="D86" s="230">
        <f>300*2000+15*5500</f>
        <v>682500</v>
      </c>
      <c r="E86" s="231">
        <v>277</v>
      </c>
      <c r="F86" s="209">
        <v>266250</v>
      </c>
      <c r="G86" s="234">
        <v>260531.25</v>
      </c>
      <c r="H86" s="209">
        <f t="shared" si="26"/>
        <v>38</v>
      </c>
      <c r="I86" s="209">
        <f t="shared" si="26"/>
        <v>416250</v>
      </c>
      <c r="J86" s="210">
        <f t="shared" si="5"/>
        <v>421968.75</v>
      </c>
    </row>
    <row r="87" spans="2:10" ht="15.75" customHeight="1" x14ac:dyDescent="0.2">
      <c r="B87" s="208" t="s">
        <v>302</v>
      </c>
      <c r="C87" s="230">
        <v>30</v>
      </c>
      <c r="D87" s="230">
        <f t="shared" ref="D87:D89" si="31">C87*2000</f>
        <v>60000</v>
      </c>
      <c r="E87" s="231">
        <v>17</v>
      </c>
      <c r="F87" s="209">
        <v>15700</v>
      </c>
      <c r="G87" s="234">
        <v>14445</v>
      </c>
      <c r="H87" s="209">
        <f t="shared" si="26"/>
        <v>13</v>
      </c>
      <c r="I87" s="209">
        <f t="shared" si="26"/>
        <v>44300</v>
      </c>
      <c r="J87" s="210">
        <f t="shared" si="5"/>
        <v>45555</v>
      </c>
    </row>
    <row r="88" spans="2:10" ht="15.75" customHeight="1" x14ac:dyDescent="0.2">
      <c r="B88" s="208" t="s">
        <v>304</v>
      </c>
      <c r="C88" s="230">
        <v>4</v>
      </c>
      <c r="D88" s="230">
        <f t="shared" si="31"/>
        <v>8000</v>
      </c>
      <c r="E88" s="231">
        <v>1</v>
      </c>
      <c r="F88" s="209">
        <v>1000</v>
      </c>
      <c r="G88" s="234">
        <v>1000</v>
      </c>
      <c r="H88" s="209">
        <f t="shared" si="26"/>
        <v>3</v>
      </c>
      <c r="I88" s="209">
        <f t="shared" si="26"/>
        <v>7000</v>
      </c>
      <c r="J88" s="210">
        <f t="shared" si="5"/>
        <v>7000</v>
      </c>
    </row>
    <row r="89" spans="2:10" ht="15.75" customHeight="1" x14ac:dyDescent="0.2">
      <c r="B89" s="208" t="s">
        <v>303</v>
      </c>
      <c r="C89" s="230">
        <v>36</v>
      </c>
      <c r="D89" s="230">
        <f t="shared" si="31"/>
        <v>72000</v>
      </c>
      <c r="E89" s="231">
        <v>32</v>
      </c>
      <c r="F89" s="209">
        <v>30200</v>
      </c>
      <c r="G89" s="234">
        <v>29260</v>
      </c>
      <c r="H89" s="209">
        <f t="shared" si="26"/>
        <v>4</v>
      </c>
      <c r="I89" s="209">
        <f t="shared" si="26"/>
        <v>41800</v>
      </c>
      <c r="J89" s="210">
        <f t="shared" si="5"/>
        <v>42740</v>
      </c>
    </row>
    <row r="90" spans="2:10" ht="15.75" customHeight="1" x14ac:dyDescent="0.2">
      <c r="B90" s="229" t="s">
        <v>14</v>
      </c>
      <c r="C90" s="230">
        <f>SUM(C91:C100)</f>
        <v>1216</v>
      </c>
      <c r="D90" s="230">
        <f t="shared" ref="D90:G90" si="32">SUM(D91:D100)</f>
        <v>2444450</v>
      </c>
      <c r="E90" s="230">
        <f t="shared" si="32"/>
        <v>824</v>
      </c>
      <c r="F90" s="230">
        <f t="shared" si="32"/>
        <v>1132353</v>
      </c>
      <c r="G90" s="230">
        <f t="shared" si="32"/>
        <v>658471.94999999995</v>
      </c>
      <c r="H90" s="209">
        <f t="shared" ref="H90:H96" si="33">C90-E90</f>
        <v>392</v>
      </c>
      <c r="I90" s="209">
        <f t="shared" ref="I90:I96" si="34">D90-F90</f>
        <v>1312097</v>
      </c>
      <c r="J90" s="210">
        <f t="shared" ref="J90:J96" si="35">D90-G90</f>
        <v>1785978.05</v>
      </c>
    </row>
    <row r="91" spans="2:10" ht="15.75" customHeight="1" x14ac:dyDescent="0.2">
      <c r="B91" s="208">
        <v>35010401</v>
      </c>
      <c r="C91" s="230">
        <v>300</v>
      </c>
      <c r="D91" s="230">
        <f>C91*2000</f>
        <v>600000</v>
      </c>
      <c r="E91" s="231">
        <v>130</v>
      </c>
      <c r="F91" s="209">
        <v>97478</v>
      </c>
      <c r="G91" s="234">
        <v>93627.57</v>
      </c>
      <c r="H91" s="209">
        <f t="shared" si="33"/>
        <v>170</v>
      </c>
      <c r="I91" s="209">
        <f t="shared" si="34"/>
        <v>502522</v>
      </c>
      <c r="J91" s="210">
        <f t="shared" si="35"/>
        <v>506372.43</v>
      </c>
    </row>
    <row r="92" spans="2:10" ht="15.75" customHeight="1" x14ac:dyDescent="0.2">
      <c r="B92" s="208">
        <v>350202</v>
      </c>
      <c r="C92" s="230">
        <v>484</v>
      </c>
      <c r="D92" s="230">
        <f t="shared" ref="D92" si="36">C92*2000</f>
        <v>968000</v>
      </c>
      <c r="E92" s="231">
        <v>321</v>
      </c>
      <c r="F92" s="209">
        <f>334*2000</f>
        <v>668000</v>
      </c>
      <c r="G92" s="234">
        <v>216849.4</v>
      </c>
      <c r="H92" s="209">
        <f t="shared" si="33"/>
        <v>163</v>
      </c>
      <c r="I92" s="209">
        <f t="shared" si="34"/>
        <v>300000</v>
      </c>
      <c r="J92" s="210">
        <f t="shared" si="35"/>
        <v>751150.6</v>
      </c>
    </row>
    <row r="93" spans="2:10" ht="15.75" customHeight="1" x14ac:dyDescent="0.2">
      <c r="B93" s="208">
        <v>350301</v>
      </c>
      <c r="C93" s="230">
        <v>315</v>
      </c>
      <c r="D93" s="230">
        <f>300*2000+15*5500</f>
        <v>682500</v>
      </c>
      <c r="E93" s="231">
        <v>275</v>
      </c>
      <c r="F93" s="209">
        <v>265525</v>
      </c>
      <c r="G93" s="234">
        <v>256961.98</v>
      </c>
      <c r="H93" s="209">
        <f t="shared" si="33"/>
        <v>40</v>
      </c>
      <c r="I93" s="209">
        <f t="shared" si="34"/>
        <v>416975</v>
      </c>
      <c r="J93" s="210">
        <f t="shared" si="35"/>
        <v>425538.02</v>
      </c>
    </row>
    <row r="94" spans="2:10" ht="15.75" customHeight="1" x14ac:dyDescent="0.2">
      <c r="B94" s="208" t="s">
        <v>302</v>
      </c>
      <c r="C94" s="230">
        <v>30</v>
      </c>
      <c r="D94" s="230">
        <f t="shared" ref="D94:D96" si="37">C94*2000</f>
        <v>60000</v>
      </c>
      <c r="E94" s="231">
        <v>17</v>
      </c>
      <c r="F94" s="209">
        <v>15700</v>
      </c>
      <c r="G94" s="234">
        <v>14700</v>
      </c>
      <c r="H94" s="209">
        <f t="shared" si="33"/>
        <v>13</v>
      </c>
      <c r="I94" s="209">
        <f t="shared" si="34"/>
        <v>44300</v>
      </c>
      <c r="J94" s="210">
        <f t="shared" si="35"/>
        <v>45300</v>
      </c>
    </row>
    <row r="95" spans="2:10" ht="15.75" customHeight="1" x14ac:dyDescent="0.2">
      <c r="B95" s="208" t="s">
        <v>304</v>
      </c>
      <c r="C95" s="230">
        <v>4</v>
      </c>
      <c r="D95" s="230">
        <f t="shared" si="37"/>
        <v>8000</v>
      </c>
      <c r="E95" s="231">
        <v>1</v>
      </c>
      <c r="F95" s="209">
        <v>1000</v>
      </c>
      <c r="G95" s="234">
        <v>1000</v>
      </c>
      <c r="H95" s="209">
        <f t="shared" si="33"/>
        <v>3</v>
      </c>
      <c r="I95" s="209">
        <f t="shared" si="34"/>
        <v>7000</v>
      </c>
      <c r="J95" s="210">
        <f t="shared" si="35"/>
        <v>7000</v>
      </c>
    </row>
    <row r="96" spans="2:10" ht="15.75" customHeight="1" x14ac:dyDescent="0.2">
      <c r="B96" s="208" t="s">
        <v>303</v>
      </c>
      <c r="C96" s="230">
        <v>36</v>
      </c>
      <c r="D96" s="230">
        <f t="shared" si="37"/>
        <v>72000</v>
      </c>
      <c r="E96" s="231">
        <v>36</v>
      </c>
      <c r="F96" s="209">
        <v>34400</v>
      </c>
      <c r="G96" s="234">
        <v>29013</v>
      </c>
      <c r="H96" s="209">
        <f t="shared" si="33"/>
        <v>0</v>
      </c>
      <c r="I96" s="209">
        <f t="shared" si="34"/>
        <v>37600</v>
      </c>
      <c r="J96" s="210">
        <f t="shared" si="35"/>
        <v>42987</v>
      </c>
    </row>
    <row r="97" spans="2:10" x14ac:dyDescent="0.2">
      <c r="B97" s="275" t="s">
        <v>437</v>
      </c>
      <c r="C97" s="230">
        <v>5</v>
      </c>
      <c r="D97" s="209">
        <v>4000</v>
      </c>
      <c r="E97" s="231">
        <v>3</v>
      </c>
      <c r="F97" s="209">
        <v>1600</v>
      </c>
      <c r="G97" s="234">
        <v>2400</v>
      </c>
      <c r="H97" s="209">
        <f t="shared" ref="H97:H107" si="38">C97-E97</f>
        <v>2</v>
      </c>
      <c r="I97" s="209">
        <f t="shared" ref="I97:I107" si="39">D97-F97</f>
        <v>2400</v>
      </c>
      <c r="J97" s="210">
        <f t="shared" ref="J97:J107" si="40">D97-G97</f>
        <v>1600</v>
      </c>
    </row>
    <row r="98" spans="2:10" x14ac:dyDescent="0.2">
      <c r="B98" s="275" t="s">
        <v>438</v>
      </c>
      <c r="C98" s="230">
        <v>2</v>
      </c>
      <c r="D98" s="209">
        <v>1600</v>
      </c>
      <c r="E98" s="231">
        <v>2</v>
      </c>
      <c r="F98" s="209">
        <v>1600</v>
      </c>
      <c r="G98" s="234">
        <v>1600</v>
      </c>
      <c r="H98" s="209">
        <f t="shared" si="38"/>
        <v>0</v>
      </c>
      <c r="I98" s="209">
        <f t="shared" si="39"/>
        <v>0</v>
      </c>
      <c r="J98" s="210">
        <f t="shared" si="40"/>
        <v>0</v>
      </c>
    </row>
    <row r="99" spans="2:10" x14ac:dyDescent="0.2">
      <c r="B99" s="275" t="s">
        <v>440</v>
      </c>
      <c r="C99" s="230">
        <v>11</v>
      </c>
      <c r="D99" s="230">
        <v>15350</v>
      </c>
      <c r="E99" s="231">
        <v>11</v>
      </c>
      <c r="F99" s="209">
        <v>15350</v>
      </c>
      <c r="G99" s="234">
        <v>10620</v>
      </c>
      <c r="H99" s="209">
        <f t="shared" si="38"/>
        <v>0</v>
      </c>
      <c r="I99" s="209">
        <f t="shared" si="39"/>
        <v>0</v>
      </c>
      <c r="J99" s="210">
        <f t="shared" si="40"/>
        <v>4730</v>
      </c>
    </row>
    <row r="100" spans="2:10" x14ac:dyDescent="0.2">
      <c r="B100" s="275" t="s">
        <v>439</v>
      </c>
      <c r="C100" s="230">
        <v>29</v>
      </c>
      <c r="D100" s="230">
        <v>33000</v>
      </c>
      <c r="E100" s="231">
        <v>28</v>
      </c>
      <c r="F100" s="209">
        <v>31700</v>
      </c>
      <c r="G100" s="234">
        <v>31700</v>
      </c>
      <c r="H100" s="209">
        <f t="shared" si="38"/>
        <v>1</v>
      </c>
      <c r="I100" s="209">
        <f t="shared" si="39"/>
        <v>1300</v>
      </c>
      <c r="J100" s="210">
        <f t="shared" si="40"/>
        <v>1300</v>
      </c>
    </row>
    <row r="101" spans="2:10" ht="15.75" customHeight="1" x14ac:dyDescent="0.2">
      <c r="B101" s="229" t="s">
        <v>15</v>
      </c>
      <c r="C101" s="230">
        <f>SUM(C102:C111)</f>
        <v>1216</v>
      </c>
      <c r="D101" s="230">
        <f t="shared" ref="D101" si="41">SUM(D102:D111)</f>
        <v>2444450</v>
      </c>
      <c r="E101" s="230">
        <f t="shared" ref="E101" si="42">SUM(E102:E111)</f>
        <v>820</v>
      </c>
      <c r="F101" s="230">
        <f t="shared" ref="F101" si="43">SUM(F102:F111)</f>
        <v>1129103</v>
      </c>
      <c r="G101" s="230">
        <f t="shared" ref="G101" si="44">SUM(G102:G111)</f>
        <v>692820.35000000009</v>
      </c>
      <c r="H101" s="209">
        <f t="shared" si="38"/>
        <v>396</v>
      </c>
      <c r="I101" s="209">
        <f t="shared" si="39"/>
        <v>1315347</v>
      </c>
      <c r="J101" s="210">
        <f t="shared" si="40"/>
        <v>1751629.65</v>
      </c>
    </row>
    <row r="102" spans="2:10" ht="15.75" customHeight="1" x14ac:dyDescent="0.2">
      <c r="B102" s="208">
        <v>35010401</v>
      </c>
      <c r="C102" s="230">
        <v>300</v>
      </c>
      <c r="D102" s="230">
        <f>C102*2000</f>
        <v>600000</v>
      </c>
      <c r="E102" s="231">
        <v>131</v>
      </c>
      <c r="F102" s="209">
        <v>98378</v>
      </c>
      <c r="G102" s="234">
        <f>94760.5+5500</f>
        <v>100260.5</v>
      </c>
      <c r="H102" s="209">
        <f t="shared" si="38"/>
        <v>169</v>
      </c>
      <c r="I102" s="209">
        <f t="shared" si="39"/>
        <v>501622</v>
      </c>
      <c r="J102" s="210">
        <f t="shared" si="40"/>
        <v>499739.5</v>
      </c>
    </row>
    <row r="103" spans="2:10" ht="15.75" customHeight="1" x14ac:dyDescent="0.2">
      <c r="B103" s="208">
        <v>350202</v>
      </c>
      <c r="C103" s="230">
        <v>484</v>
      </c>
      <c r="D103" s="230">
        <f t="shared" ref="D103" si="45">C103*2000</f>
        <v>968000</v>
      </c>
      <c r="E103" s="231">
        <v>321</v>
      </c>
      <c r="F103" s="209">
        <f>334*2000</f>
        <v>668000</v>
      </c>
      <c r="G103" s="234">
        <v>190601.54</v>
      </c>
      <c r="H103" s="209">
        <f t="shared" si="38"/>
        <v>163</v>
      </c>
      <c r="I103" s="209">
        <f t="shared" si="39"/>
        <v>300000</v>
      </c>
      <c r="J103" s="210">
        <f t="shared" si="40"/>
        <v>777398.46</v>
      </c>
    </row>
    <row r="104" spans="2:10" ht="15.75" customHeight="1" x14ac:dyDescent="0.2">
      <c r="B104" s="208">
        <v>350301</v>
      </c>
      <c r="C104" s="230">
        <v>315</v>
      </c>
      <c r="D104" s="230">
        <f>300*2000+15*5500</f>
        <v>682500</v>
      </c>
      <c r="E104" s="231">
        <v>274</v>
      </c>
      <c r="F104" s="209">
        <v>264325</v>
      </c>
      <c r="G104" s="234">
        <f>253800.38+51300</f>
        <v>305100.38</v>
      </c>
      <c r="H104" s="209">
        <f t="shared" si="38"/>
        <v>41</v>
      </c>
      <c r="I104" s="209">
        <f t="shared" si="39"/>
        <v>418175</v>
      </c>
      <c r="J104" s="210">
        <f t="shared" si="40"/>
        <v>377399.62</v>
      </c>
    </row>
    <row r="105" spans="2:10" ht="15.75" customHeight="1" x14ac:dyDescent="0.2">
      <c r="B105" s="208" t="s">
        <v>302</v>
      </c>
      <c r="C105" s="230">
        <v>30</v>
      </c>
      <c r="D105" s="230">
        <f t="shared" ref="D105:D107" si="46">C105*2000</f>
        <v>60000</v>
      </c>
      <c r="E105" s="231">
        <v>16</v>
      </c>
      <c r="F105" s="209">
        <v>14700</v>
      </c>
      <c r="G105" s="234">
        <v>14467.93</v>
      </c>
      <c r="H105" s="209">
        <f t="shared" si="38"/>
        <v>14</v>
      </c>
      <c r="I105" s="209">
        <f t="shared" si="39"/>
        <v>45300</v>
      </c>
      <c r="J105" s="210">
        <f t="shared" si="40"/>
        <v>45532.07</v>
      </c>
    </row>
    <row r="106" spans="2:10" ht="15.75" customHeight="1" x14ac:dyDescent="0.2">
      <c r="B106" s="208" t="s">
        <v>304</v>
      </c>
      <c r="C106" s="230">
        <v>4</v>
      </c>
      <c r="D106" s="230">
        <f t="shared" si="46"/>
        <v>8000</v>
      </c>
      <c r="E106" s="231">
        <v>1</v>
      </c>
      <c r="F106" s="209">
        <v>1000</v>
      </c>
      <c r="G106" s="234">
        <v>1000</v>
      </c>
      <c r="H106" s="209">
        <f t="shared" si="38"/>
        <v>3</v>
      </c>
      <c r="I106" s="209">
        <f t="shared" si="39"/>
        <v>7000</v>
      </c>
      <c r="J106" s="210">
        <f t="shared" si="40"/>
        <v>7000</v>
      </c>
    </row>
    <row r="107" spans="2:10" ht="15.75" customHeight="1" x14ac:dyDescent="0.2">
      <c r="B107" s="208" t="s">
        <v>303</v>
      </c>
      <c r="C107" s="230">
        <v>36</v>
      </c>
      <c r="D107" s="230">
        <f t="shared" si="46"/>
        <v>72000</v>
      </c>
      <c r="E107" s="231">
        <v>35</v>
      </c>
      <c r="F107" s="209">
        <v>33400</v>
      </c>
      <c r="G107" s="234">
        <f>32300+2770</f>
        <v>35070</v>
      </c>
      <c r="H107" s="209">
        <f t="shared" si="38"/>
        <v>1</v>
      </c>
      <c r="I107" s="209">
        <f t="shared" si="39"/>
        <v>38600</v>
      </c>
      <c r="J107" s="210">
        <f t="shared" si="40"/>
        <v>36930</v>
      </c>
    </row>
    <row r="108" spans="2:10" x14ac:dyDescent="0.2">
      <c r="B108" s="275" t="s">
        <v>437</v>
      </c>
      <c r="C108" s="230">
        <v>5</v>
      </c>
      <c r="D108" s="209">
        <v>4000</v>
      </c>
      <c r="E108" s="231">
        <v>2</v>
      </c>
      <c r="F108" s="209">
        <v>1600</v>
      </c>
      <c r="G108" s="234">
        <v>2400</v>
      </c>
      <c r="H108" s="209">
        <f t="shared" ref="H108:H118" si="47">C108-E108</f>
        <v>3</v>
      </c>
      <c r="I108" s="209">
        <f t="shared" ref="I108:I118" si="48">D108-F108</f>
        <v>2400</v>
      </c>
      <c r="J108" s="210">
        <f t="shared" ref="J108:J118" si="49">D108-G108</f>
        <v>1600</v>
      </c>
    </row>
    <row r="109" spans="2:10" x14ac:dyDescent="0.2">
      <c r="B109" s="275" t="s">
        <v>438</v>
      </c>
      <c r="C109" s="230">
        <v>2</v>
      </c>
      <c r="D109" s="209">
        <v>1600</v>
      </c>
      <c r="E109" s="231">
        <v>2</v>
      </c>
      <c r="F109" s="209">
        <v>1600</v>
      </c>
      <c r="G109" s="234">
        <v>1600</v>
      </c>
      <c r="H109" s="209">
        <f t="shared" si="47"/>
        <v>0</v>
      </c>
      <c r="I109" s="209">
        <f t="shared" si="48"/>
        <v>0</v>
      </c>
      <c r="J109" s="210">
        <f t="shared" si="49"/>
        <v>0</v>
      </c>
    </row>
    <row r="110" spans="2:10" x14ac:dyDescent="0.2">
      <c r="B110" s="275" t="s">
        <v>440</v>
      </c>
      <c r="C110" s="230">
        <v>11</v>
      </c>
      <c r="D110" s="230">
        <v>15350</v>
      </c>
      <c r="E110" s="231">
        <v>11</v>
      </c>
      <c r="F110" s="209">
        <v>15350</v>
      </c>
      <c r="G110" s="234">
        <v>10620</v>
      </c>
      <c r="H110" s="209">
        <f t="shared" si="47"/>
        <v>0</v>
      </c>
      <c r="I110" s="209">
        <f t="shared" si="48"/>
        <v>0</v>
      </c>
      <c r="J110" s="210">
        <f t="shared" si="49"/>
        <v>4730</v>
      </c>
    </row>
    <row r="111" spans="2:10" x14ac:dyDescent="0.2">
      <c r="B111" s="275" t="s">
        <v>439</v>
      </c>
      <c r="C111" s="230">
        <v>29</v>
      </c>
      <c r="D111" s="230">
        <v>33000</v>
      </c>
      <c r="E111" s="231">
        <v>27</v>
      </c>
      <c r="F111" s="209">
        <v>30750</v>
      </c>
      <c r="G111" s="234">
        <v>31700</v>
      </c>
      <c r="H111" s="209">
        <f t="shared" si="47"/>
        <v>2</v>
      </c>
      <c r="I111" s="209">
        <f t="shared" si="48"/>
        <v>2250</v>
      </c>
      <c r="J111" s="210">
        <f t="shared" si="49"/>
        <v>1300</v>
      </c>
    </row>
    <row r="112" spans="2:10" ht="15.75" customHeight="1" x14ac:dyDescent="0.2">
      <c r="B112" s="229" t="s">
        <v>16</v>
      </c>
      <c r="C112" s="230">
        <f>SUM(C113:C122)</f>
        <v>1216</v>
      </c>
      <c r="D112" s="230">
        <f t="shared" ref="D112" si="50">SUM(D113:D122)</f>
        <v>2444450</v>
      </c>
      <c r="E112" s="230">
        <f t="shared" ref="E112" si="51">SUM(E113:E122)</f>
        <v>816</v>
      </c>
      <c r="F112" s="230">
        <f t="shared" ref="F112" si="52">SUM(F113:F122)</f>
        <v>1123828</v>
      </c>
      <c r="G112" s="230">
        <f t="shared" ref="G112" si="53">SUM(G113:G122)</f>
        <v>988607.06</v>
      </c>
      <c r="H112" s="209">
        <f t="shared" si="47"/>
        <v>400</v>
      </c>
      <c r="I112" s="209">
        <f t="shared" si="48"/>
        <v>1320622</v>
      </c>
      <c r="J112" s="210">
        <f t="shared" si="49"/>
        <v>1455842.94</v>
      </c>
    </row>
    <row r="113" spans="2:10" ht="15.75" customHeight="1" x14ac:dyDescent="0.2">
      <c r="B113" s="208">
        <v>35010401</v>
      </c>
      <c r="C113" s="230">
        <v>300</v>
      </c>
      <c r="D113" s="230">
        <f>C113*2000</f>
        <v>600000</v>
      </c>
      <c r="E113" s="231">
        <v>126</v>
      </c>
      <c r="F113" s="209">
        <v>93378</v>
      </c>
      <c r="G113" s="234">
        <f>95739.8+69000</f>
        <v>164739.79999999999</v>
      </c>
      <c r="H113" s="209">
        <f t="shared" si="47"/>
        <v>174</v>
      </c>
      <c r="I113" s="209">
        <f t="shared" si="48"/>
        <v>506622</v>
      </c>
      <c r="J113" s="210">
        <f t="shared" si="49"/>
        <v>435260.2</v>
      </c>
    </row>
    <row r="114" spans="2:10" ht="15.75" customHeight="1" x14ac:dyDescent="0.2">
      <c r="B114" s="208">
        <v>350202</v>
      </c>
      <c r="C114" s="230">
        <v>484</v>
      </c>
      <c r="D114" s="230">
        <f t="shared" ref="D114" si="54">C114*2000</f>
        <v>968000</v>
      </c>
      <c r="E114" s="231">
        <v>321</v>
      </c>
      <c r="F114" s="209">
        <f>334*2000</f>
        <v>668000</v>
      </c>
      <c r="G114" s="234">
        <f>197866.57+46250</f>
        <v>244116.57</v>
      </c>
      <c r="H114" s="209">
        <f t="shared" si="47"/>
        <v>163</v>
      </c>
      <c r="I114" s="209">
        <f t="shared" si="48"/>
        <v>300000</v>
      </c>
      <c r="J114" s="210">
        <f t="shared" si="49"/>
        <v>723883.42999999993</v>
      </c>
    </row>
    <row r="115" spans="2:10" ht="15.75" customHeight="1" x14ac:dyDescent="0.2">
      <c r="B115" s="208">
        <v>350301</v>
      </c>
      <c r="C115" s="230">
        <v>315</v>
      </c>
      <c r="D115" s="230">
        <f>300*2000+15*5500</f>
        <v>682500</v>
      </c>
      <c r="E115" s="231">
        <v>277</v>
      </c>
      <c r="F115" s="209">
        <v>266250</v>
      </c>
      <c r="G115" s="234">
        <f>258991.65+185120</f>
        <v>444111.65</v>
      </c>
      <c r="H115" s="209">
        <f t="shared" si="47"/>
        <v>38</v>
      </c>
      <c r="I115" s="209">
        <f t="shared" si="48"/>
        <v>416250</v>
      </c>
      <c r="J115" s="210">
        <f t="shared" si="49"/>
        <v>238388.34999999998</v>
      </c>
    </row>
    <row r="116" spans="2:10" ht="15.75" customHeight="1" x14ac:dyDescent="0.2">
      <c r="B116" s="208" t="s">
        <v>302</v>
      </c>
      <c r="C116" s="230">
        <v>30</v>
      </c>
      <c r="D116" s="230">
        <f t="shared" ref="D116:D118" si="55">C116*2000</f>
        <v>60000</v>
      </c>
      <c r="E116" s="231">
        <v>17</v>
      </c>
      <c r="F116" s="209">
        <v>15700</v>
      </c>
      <c r="G116" s="234">
        <f>13564.29+13150</f>
        <v>26714.29</v>
      </c>
      <c r="H116" s="209">
        <f t="shared" si="47"/>
        <v>13</v>
      </c>
      <c r="I116" s="209">
        <f t="shared" si="48"/>
        <v>44300</v>
      </c>
      <c r="J116" s="210">
        <f t="shared" si="49"/>
        <v>33285.71</v>
      </c>
    </row>
    <row r="117" spans="2:10" ht="15.75" customHeight="1" x14ac:dyDescent="0.2">
      <c r="B117" s="208" t="s">
        <v>304</v>
      </c>
      <c r="C117" s="230">
        <v>4</v>
      </c>
      <c r="D117" s="230">
        <f t="shared" si="55"/>
        <v>8000</v>
      </c>
      <c r="E117" s="231">
        <v>1</v>
      </c>
      <c r="F117" s="209">
        <v>1000</v>
      </c>
      <c r="G117" s="234">
        <f>1000+900</f>
        <v>1900</v>
      </c>
      <c r="H117" s="209">
        <f t="shared" si="47"/>
        <v>3</v>
      </c>
      <c r="I117" s="209">
        <f t="shared" si="48"/>
        <v>7000</v>
      </c>
      <c r="J117" s="210">
        <f t="shared" si="49"/>
        <v>6100</v>
      </c>
    </row>
    <row r="118" spans="2:10" ht="15.75" customHeight="1" x14ac:dyDescent="0.2">
      <c r="B118" s="208" t="s">
        <v>303</v>
      </c>
      <c r="C118" s="230">
        <v>36</v>
      </c>
      <c r="D118" s="230">
        <f t="shared" si="55"/>
        <v>72000</v>
      </c>
      <c r="E118" s="231">
        <v>32</v>
      </c>
      <c r="F118" s="209">
        <v>30200</v>
      </c>
      <c r="G118" s="234">
        <f>32104.75+28600</f>
        <v>60704.75</v>
      </c>
      <c r="H118" s="209">
        <f t="shared" si="47"/>
        <v>4</v>
      </c>
      <c r="I118" s="209">
        <f t="shared" si="48"/>
        <v>41800</v>
      </c>
      <c r="J118" s="210">
        <f t="shared" si="49"/>
        <v>11295.25</v>
      </c>
    </row>
    <row r="119" spans="2:10" x14ac:dyDescent="0.2">
      <c r="B119" s="275" t="s">
        <v>437</v>
      </c>
      <c r="C119" s="230">
        <v>5</v>
      </c>
      <c r="D119" s="209">
        <v>4000</v>
      </c>
      <c r="E119" s="231">
        <v>2</v>
      </c>
      <c r="F119" s="209">
        <v>1600</v>
      </c>
      <c r="G119" s="234">
        <v>2400</v>
      </c>
      <c r="H119" s="209">
        <f t="shared" ref="H119:H122" si="56">C119-E119</f>
        <v>3</v>
      </c>
      <c r="I119" s="209">
        <f t="shared" ref="I119:I122" si="57">D119-F119</f>
        <v>2400</v>
      </c>
      <c r="J119" s="210">
        <f t="shared" ref="J119:J122" si="58">D119-G119</f>
        <v>1600</v>
      </c>
    </row>
    <row r="120" spans="2:10" x14ac:dyDescent="0.2">
      <c r="B120" s="275" t="s">
        <v>438</v>
      </c>
      <c r="C120" s="230">
        <v>2</v>
      </c>
      <c r="D120" s="209">
        <v>1600</v>
      </c>
      <c r="E120" s="231">
        <v>2</v>
      </c>
      <c r="F120" s="209">
        <v>1600</v>
      </c>
      <c r="G120" s="234">
        <v>1600</v>
      </c>
      <c r="H120" s="209">
        <f t="shared" si="56"/>
        <v>0</v>
      </c>
      <c r="I120" s="209">
        <f t="shared" si="57"/>
        <v>0</v>
      </c>
      <c r="J120" s="210">
        <f t="shared" si="58"/>
        <v>0</v>
      </c>
    </row>
    <row r="121" spans="2:10" x14ac:dyDescent="0.2">
      <c r="B121" s="275" t="s">
        <v>440</v>
      </c>
      <c r="C121" s="230">
        <v>11</v>
      </c>
      <c r="D121" s="230">
        <v>15350</v>
      </c>
      <c r="E121" s="231">
        <v>11</v>
      </c>
      <c r="F121" s="209">
        <v>15350</v>
      </c>
      <c r="G121" s="234">
        <v>10620</v>
      </c>
      <c r="H121" s="209">
        <f t="shared" si="56"/>
        <v>0</v>
      </c>
      <c r="I121" s="209">
        <f t="shared" si="57"/>
        <v>0</v>
      </c>
      <c r="J121" s="210">
        <f t="shared" si="58"/>
        <v>4730</v>
      </c>
    </row>
    <row r="122" spans="2:10" x14ac:dyDescent="0.2">
      <c r="B122" s="275" t="s">
        <v>439</v>
      </c>
      <c r="C122" s="230">
        <v>29</v>
      </c>
      <c r="D122" s="230">
        <v>33000</v>
      </c>
      <c r="E122" s="231">
        <v>27</v>
      </c>
      <c r="F122" s="209">
        <v>30750</v>
      </c>
      <c r="G122" s="234">
        <v>31700</v>
      </c>
      <c r="H122" s="209">
        <f t="shared" si="56"/>
        <v>2</v>
      </c>
      <c r="I122" s="209">
        <f t="shared" si="57"/>
        <v>2250</v>
      </c>
      <c r="J122" s="210">
        <f t="shared" si="58"/>
        <v>1300</v>
      </c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669"/>
  <sheetViews>
    <sheetView topLeftCell="B87" zoomScale="70" zoomScaleNormal="70" workbookViewId="0">
      <selection activeCell="J106" sqref="J106"/>
    </sheetView>
  </sheetViews>
  <sheetFormatPr defaultRowHeight="20.100000000000001" customHeight="1" x14ac:dyDescent="0.25"/>
  <cols>
    <col min="1" max="1" width="12.28515625" style="334" hidden="1" customWidth="1"/>
    <col min="2" max="2" width="32" style="335" customWidth="1"/>
    <col min="3" max="4" width="17.5703125" style="336" customWidth="1"/>
    <col min="5" max="5" width="20.7109375" style="297" customWidth="1"/>
    <col min="6" max="13" width="17.5703125" style="297" customWidth="1"/>
    <col min="14" max="14" width="15.85546875" style="297" customWidth="1"/>
    <col min="15" max="15" width="14.5703125" style="297" customWidth="1"/>
    <col min="16" max="26" width="17.5703125" style="297" customWidth="1"/>
    <col min="27" max="33" width="17.5703125" style="337" customWidth="1"/>
    <col min="34" max="34" width="17.5703125" style="297" customWidth="1"/>
    <col min="35" max="35" width="17.5703125" style="338" customWidth="1"/>
    <col min="36" max="37" width="17.5703125" style="339" customWidth="1"/>
    <col min="38" max="49" width="17.5703125" style="297" customWidth="1"/>
    <col min="50" max="50" width="19.85546875" style="297" customWidth="1"/>
    <col min="51" max="79" width="17.5703125" style="297" customWidth="1"/>
    <col min="80" max="80" width="20.85546875" style="297" customWidth="1"/>
    <col min="81" max="256" width="9.140625" style="297"/>
    <col min="257" max="257" width="0" style="297" hidden="1" customWidth="1"/>
    <col min="258" max="258" width="26.140625" style="297" customWidth="1"/>
    <col min="259" max="260" width="17.5703125" style="297" customWidth="1"/>
    <col min="261" max="261" width="20.7109375" style="297" customWidth="1"/>
    <col min="262" max="269" width="17.5703125" style="297" customWidth="1"/>
    <col min="270" max="270" width="15.85546875" style="297" customWidth="1"/>
    <col min="271" max="271" width="14.5703125" style="297" customWidth="1"/>
    <col min="272" max="305" width="17.5703125" style="297" customWidth="1"/>
    <col min="306" max="306" width="19.85546875" style="297" customWidth="1"/>
    <col min="307" max="335" width="17.5703125" style="297" customWidth="1"/>
    <col min="336" max="336" width="20.85546875" style="297" customWidth="1"/>
    <col min="337" max="512" width="9.140625" style="297"/>
    <col min="513" max="513" width="0" style="297" hidden="1" customWidth="1"/>
    <col min="514" max="514" width="26.140625" style="297" customWidth="1"/>
    <col min="515" max="516" width="17.5703125" style="297" customWidth="1"/>
    <col min="517" max="517" width="20.7109375" style="297" customWidth="1"/>
    <col min="518" max="525" width="17.5703125" style="297" customWidth="1"/>
    <col min="526" max="526" width="15.85546875" style="297" customWidth="1"/>
    <col min="527" max="527" width="14.5703125" style="297" customWidth="1"/>
    <col min="528" max="561" width="17.5703125" style="297" customWidth="1"/>
    <col min="562" max="562" width="19.85546875" style="297" customWidth="1"/>
    <col min="563" max="591" width="17.5703125" style="297" customWidth="1"/>
    <col min="592" max="592" width="20.85546875" style="297" customWidth="1"/>
    <col min="593" max="768" width="9.140625" style="297"/>
    <col min="769" max="769" width="0" style="297" hidden="1" customWidth="1"/>
    <col min="770" max="770" width="26.140625" style="297" customWidth="1"/>
    <col min="771" max="772" width="17.5703125" style="297" customWidth="1"/>
    <col min="773" max="773" width="20.7109375" style="297" customWidth="1"/>
    <col min="774" max="781" width="17.5703125" style="297" customWidth="1"/>
    <col min="782" max="782" width="15.85546875" style="297" customWidth="1"/>
    <col min="783" max="783" width="14.5703125" style="297" customWidth="1"/>
    <col min="784" max="817" width="17.5703125" style="297" customWidth="1"/>
    <col min="818" max="818" width="19.85546875" style="297" customWidth="1"/>
    <col min="819" max="847" width="17.5703125" style="297" customWidth="1"/>
    <col min="848" max="848" width="20.85546875" style="297" customWidth="1"/>
    <col min="849" max="1024" width="9.140625" style="297"/>
    <col min="1025" max="1025" width="0" style="297" hidden="1" customWidth="1"/>
    <col min="1026" max="1026" width="26.140625" style="297" customWidth="1"/>
    <col min="1027" max="1028" width="17.5703125" style="297" customWidth="1"/>
    <col min="1029" max="1029" width="20.7109375" style="297" customWidth="1"/>
    <col min="1030" max="1037" width="17.5703125" style="297" customWidth="1"/>
    <col min="1038" max="1038" width="15.85546875" style="297" customWidth="1"/>
    <col min="1039" max="1039" width="14.5703125" style="297" customWidth="1"/>
    <col min="1040" max="1073" width="17.5703125" style="297" customWidth="1"/>
    <col min="1074" max="1074" width="19.85546875" style="297" customWidth="1"/>
    <col min="1075" max="1103" width="17.5703125" style="297" customWidth="1"/>
    <col min="1104" max="1104" width="20.85546875" style="297" customWidth="1"/>
    <col min="1105" max="1280" width="9.140625" style="297"/>
    <col min="1281" max="1281" width="0" style="297" hidden="1" customWidth="1"/>
    <col min="1282" max="1282" width="26.140625" style="297" customWidth="1"/>
    <col min="1283" max="1284" width="17.5703125" style="297" customWidth="1"/>
    <col min="1285" max="1285" width="20.7109375" style="297" customWidth="1"/>
    <col min="1286" max="1293" width="17.5703125" style="297" customWidth="1"/>
    <col min="1294" max="1294" width="15.85546875" style="297" customWidth="1"/>
    <col min="1295" max="1295" width="14.5703125" style="297" customWidth="1"/>
    <col min="1296" max="1329" width="17.5703125" style="297" customWidth="1"/>
    <col min="1330" max="1330" width="19.85546875" style="297" customWidth="1"/>
    <col min="1331" max="1359" width="17.5703125" style="297" customWidth="1"/>
    <col min="1360" max="1360" width="20.85546875" style="297" customWidth="1"/>
    <col min="1361" max="1536" width="9.140625" style="297"/>
    <col min="1537" max="1537" width="0" style="297" hidden="1" customWidth="1"/>
    <col min="1538" max="1538" width="26.140625" style="297" customWidth="1"/>
    <col min="1539" max="1540" width="17.5703125" style="297" customWidth="1"/>
    <col min="1541" max="1541" width="20.7109375" style="297" customWidth="1"/>
    <col min="1542" max="1549" width="17.5703125" style="297" customWidth="1"/>
    <col min="1550" max="1550" width="15.85546875" style="297" customWidth="1"/>
    <col min="1551" max="1551" width="14.5703125" style="297" customWidth="1"/>
    <col min="1552" max="1585" width="17.5703125" style="297" customWidth="1"/>
    <col min="1586" max="1586" width="19.85546875" style="297" customWidth="1"/>
    <col min="1587" max="1615" width="17.5703125" style="297" customWidth="1"/>
    <col min="1616" max="1616" width="20.85546875" style="297" customWidth="1"/>
    <col min="1617" max="1792" width="9.140625" style="297"/>
    <col min="1793" max="1793" width="0" style="297" hidden="1" customWidth="1"/>
    <col min="1794" max="1794" width="26.140625" style="297" customWidth="1"/>
    <col min="1795" max="1796" width="17.5703125" style="297" customWidth="1"/>
    <col min="1797" max="1797" width="20.7109375" style="297" customWidth="1"/>
    <col min="1798" max="1805" width="17.5703125" style="297" customWidth="1"/>
    <col min="1806" max="1806" width="15.85546875" style="297" customWidth="1"/>
    <col min="1807" max="1807" width="14.5703125" style="297" customWidth="1"/>
    <col min="1808" max="1841" width="17.5703125" style="297" customWidth="1"/>
    <col min="1842" max="1842" width="19.85546875" style="297" customWidth="1"/>
    <col min="1843" max="1871" width="17.5703125" style="297" customWidth="1"/>
    <col min="1872" max="1872" width="20.85546875" style="297" customWidth="1"/>
    <col min="1873" max="2048" width="9.140625" style="297"/>
    <col min="2049" max="2049" width="0" style="297" hidden="1" customWidth="1"/>
    <col min="2050" max="2050" width="26.140625" style="297" customWidth="1"/>
    <col min="2051" max="2052" width="17.5703125" style="297" customWidth="1"/>
    <col min="2053" max="2053" width="20.7109375" style="297" customWidth="1"/>
    <col min="2054" max="2061" width="17.5703125" style="297" customWidth="1"/>
    <col min="2062" max="2062" width="15.85546875" style="297" customWidth="1"/>
    <col min="2063" max="2063" width="14.5703125" style="297" customWidth="1"/>
    <col min="2064" max="2097" width="17.5703125" style="297" customWidth="1"/>
    <col min="2098" max="2098" width="19.85546875" style="297" customWidth="1"/>
    <col min="2099" max="2127" width="17.5703125" style="297" customWidth="1"/>
    <col min="2128" max="2128" width="20.85546875" style="297" customWidth="1"/>
    <col min="2129" max="2304" width="9.140625" style="297"/>
    <col min="2305" max="2305" width="0" style="297" hidden="1" customWidth="1"/>
    <col min="2306" max="2306" width="26.140625" style="297" customWidth="1"/>
    <col min="2307" max="2308" width="17.5703125" style="297" customWidth="1"/>
    <col min="2309" max="2309" width="20.7109375" style="297" customWidth="1"/>
    <col min="2310" max="2317" width="17.5703125" style="297" customWidth="1"/>
    <col min="2318" max="2318" width="15.85546875" style="297" customWidth="1"/>
    <col min="2319" max="2319" width="14.5703125" style="297" customWidth="1"/>
    <col min="2320" max="2353" width="17.5703125" style="297" customWidth="1"/>
    <col min="2354" max="2354" width="19.85546875" style="297" customWidth="1"/>
    <col min="2355" max="2383" width="17.5703125" style="297" customWidth="1"/>
    <col min="2384" max="2384" width="20.85546875" style="297" customWidth="1"/>
    <col min="2385" max="2560" width="9.140625" style="297"/>
    <col min="2561" max="2561" width="0" style="297" hidden="1" customWidth="1"/>
    <col min="2562" max="2562" width="26.140625" style="297" customWidth="1"/>
    <col min="2563" max="2564" width="17.5703125" style="297" customWidth="1"/>
    <col min="2565" max="2565" width="20.7109375" style="297" customWidth="1"/>
    <col min="2566" max="2573" width="17.5703125" style="297" customWidth="1"/>
    <col min="2574" max="2574" width="15.85546875" style="297" customWidth="1"/>
    <col min="2575" max="2575" width="14.5703125" style="297" customWidth="1"/>
    <col min="2576" max="2609" width="17.5703125" style="297" customWidth="1"/>
    <col min="2610" max="2610" width="19.85546875" style="297" customWidth="1"/>
    <col min="2611" max="2639" width="17.5703125" style="297" customWidth="1"/>
    <col min="2640" max="2640" width="20.85546875" style="297" customWidth="1"/>
    <col min="2641" max="2816" width="9.140625" style="297"/>
    <col min="2817" max="2817" width="0" style="297" hidden="1" customWidth="1"/>
    <col min="2818" max="2818" width="26.140625" style="297" customWidth="1"/>
    <col min="2819" max="2820" width="17.5703125" style="297" customWidth="1"/>
    <col min="2821" max="2821" width="20.7109375" style="297" customWidth="1"/>
    <col min="2822" max="2829" width="17.5703125" style="297" customWidth="1"/>
    <col min="2830" max="2830" width="15.85546875" style="297" customWidth="1"/>
    <col min="2831" max="2831" width="14.5703125" style="297" customWidth="1"/>
    <col min="2832" max="2865" width="17.5703125" style="297" customWidth="1"/>
    <col min="2866" max="2866" width="19.85546875" style="297" customWidth="1"/>
    <col min="2867" max="2895" width="17.5703125" style="297" customWidth="1"/>
    <col min="2896" max="2896" width="20.85546875" style="297" customWidth="1"/>
    <col min="2897" max="3072" width="9.140625" style="297"/>
    <col min="3073" max="3073" width="0" style="297" hidden="1" customWidth="1"/>
    <col min="3074" max="3074" width="26.140625" style="297" customWidth="1"/>
    <col min="3075" max="3076" width="17.5703125" style="297" customWidth="1"/>
    <col min="3077" max="3077" width="20.7109375" style="297" customWidth="1"/>
    <col min="3078" max="3085" width="17.5703125" style="297" customWidth="1"/>
    <col min="3086" max="3086" width="15.85546875" style="297" customWidth="1"/>
    <col min="3087" max="3087" width="14.5703125" style="297" customWidth="1"/>
    <col min="3088" max="3121" width="17.5703125" style="297" customWidth="1"/>
    <col min="3122" max="3122" width="19.85546875" style="297" customWidth="1"/>
    <col min="3123" max="3151" width="17.5703125" style="297" customWidth="1"/>
    <col min="3152" max="3152" width="20.85546875" style="297" customWidth="1"/>
    <col min="3153" max="3328" width="9.140625" style="297"/>
    <col min="3329" max="3329" width="0" style="297" hidden="1" customWidth="1"/>
    <col min="3330" max="3330" width="26.140625" style="297" customWidth="1"/>
    <col min="3331" max="3332" width="17.5703125" style="297" customWidth="1"/>
    <col min="3333" max="3333" width="20.7109375" style="297" customWidth="1"/>
    <col min="3334" max="3341" width="17.5703125" style="297" customWidth="1"/>
    <col min="3342" max="3342" width="15.85546875" style="297" customWidth="1"/>
    <col min="3343" max="3343" width="14.5703125" style="297" customWidth="1"/>
    <col min="3344" max="3377" width="17.5703125" style="297" customWidth="1"/>
    <col min="3378" max="3378" width="19.85546875" style="297" customWidth="1"/>
    <col min="3379" max="3407" width="17.5703125" style="297" customWidth="1"/>
    <col min="3408" max="3408" width="20.85546875" style="297" customWidth="1"/>
    <col min="3409" max="3584" width="9.140625" style="297"/>
    <col min="3585" max="3585" width="0" style="297" hidden="1" customWidth="1"/>
    <col min="3586" max="3586" width="26.140625" style="297" customWidth="1"/>
    <col min="3587" max="3588" width="17.5703125" style="297" customWidth="1"/>
    <col min="3589" max="3589" width="20.7109375" style="297" customWidth="1"/>
    <col min="3590" max="3597" width="17.5703125" style="297" customWidth="1"/>
    <col min="3598" max="3598" width="15.85546875" style="297" customWidth="1"/>
    <col min="3599" max="3599" width="14.5703125" style="297" customWidth="1"/>
    <col min="3600" max="3633" width="17.5703125" style="297" customWidth="1"/>
    <col min="3634" max="3634" width="19.85546875" style="297" customWidth="1"/>
    <col min="3635" max="3663" width="17.5703125" style="297" customWidth="1"/>
    <col min="3664" max="3664" width="20.85546875" style="297" customWidth="1"/>
    <col min="3665" max="3840" width="9.140625" style="297"/>
    <col min="3841" max="3841" width="0" style="297" hidden="1" customWidth="1"/>
    <col min="3842" max="3842" width="26.140625" style="297" customWidth="1"/>
    <col min="3843" max="3844" width="17.5703125" style="297" customWidth="1"/>
    <col min="3845" max="3845" width="20.7109375" style="297" customWidth="1"/>
    <col min="3846" max="3853" width="17.5703125" style="297" customWidth="1"/>
    <col min="3854" max="3854" width="15.85546875" style="297" customWidth="1"/>
    <col min="3855" max="3855" width="14.5703125" style="297" customWidth="1"/>
    <col min="3856" max="3889" width="17.5703125" style="297" customWidth="1"/>
    <col min="3890" max="3890" width="19.85546875" style="297" customWidth="1"/>
    <col min="3891" max="3919" width="17.5703125" style="297" customWidth="1"/>
    <col min="3920" max="3920" width="20.85546875" style="297" customWidth="1"/>
    <col min="3921" max="4096" width="9.140625" style="297"/>
    <col min="4097" max="4097" width="0" style="297" hidden="1" customWidth="1"/>
    <col min="4098" max="4098" width="26.140625" style="297" customWidth="1"/>
    <col min="4099" max="4100" width="17.5703125" style="297" customWidth="1"/>
    <col min="4101" max="4101" width="20.7109375" style="297" customWidth="1"/>
    <col min="4102" max="4109" width="17.5703125" style="297" customWidth="1"/>
    <col min="4110" max="4110" width="15.85546875" style="297" customWidth="1"/>
    <col min="4111" max="4111" width="14.5703125" style="297" customWidth="1"/>
    <col min="4112" max="4145" width="17.5703125" style="297" customWidth="1"/>
    <col min="4146" max="4146" width="19.85546875" style="297" customWidth="1"/>
    <col min="4147" max="4175" width="17.5703125" style="297" customWidth="1"/>
    <col min="4176" max="4176" width="20.85546875" style="297" customWidth="1"/>
    <col min="4177" max="4352" width="9.140625" style="297"/>
    <col min="4353" max="4353" width="0" style="297" hidden="1" customWidth="1"/>
    <col min="4354" max="4354" width="26.140625" style="297" customWidth="1"/>
    <col min="4355" max="4356" width="17.5703125" style="297" customWidth="1"/>
    <col min="4357" max="4357" width="20.7109375" style="297" customWidth="1"/>
    <col min="4358" max="4365" width="17.5703125" style="297" customWidth="1"/>
    <col min="4366" max="4366" width="15.85546875" style="297" customWidth="1"/>
    <col min="4367" max="4367" width="14.5703125" style="297" customWidth="1"/>
    <col min="4368" max="4401" width="17.5703125" style="297" customWidth="1"/>
    <col min="4402" max="4402" width="19.85546875" style="297" customWidth="1"/>
    <col min="4403" max="4431" width="17.5703125" style="297" customWidth="1"/>
    <col min="4432" max="4432" width="20.85546875" style="297" customWidth="1"/>
    <col min="4433" max="4608" width="9.140625" style="297"/>
    <col min="4609" max="4609" width="0" style="297" hidden="1" customWidth="1"/>
    <col min="4610" max="4610" width="26.140625" style="297" customWidth="1"/>
    <col min="4611" max="4612" width="17.5703125" style="297" customWidth="1"/>
    <col min="4613" max="4613" width="20.7109375" style="297" customWidth="1"/>
    <col min="4614" max="4621" width="17.5703125" style="297" customWidth="1"/>
    <col min="4622" max="4622" width="15.85546875" style="297" customWidth="1"/>
    <col min="4623" max="4623" width="14.5703125" style="297" customWidth="1"/>
    <col min="4624" max="4657" width="17.5703125" style="297" customWidth="1"/>
    <col min="4658" max="4658" width="19.85546875" style="297" customWidth="1"/>
    <col min="4659" max="4687" width="17.5703125" style="297" customWidth="1"/>
    <col min="4688" max="4688" width="20.85546875" style="297" customWidth="1"/>
    <col min="4689" max="4864" width="9.140625" style="297"/>
    <col min="4865" max="4865" width="0" style="297" hidden="1" customWidth="1"/>
    <col min="4866" max="4866" width="26.140625" style="297" customWidth="1"/>
    <col min="4867" max="4868" width="17.5703125" style="297" customWidth="1"/>
    <col min="4869" max="4869" width="20.7109375" style="297" customWidth="1"/>
    <col min="4870" max="4877" width="17.5703125" style="297" customWidth="1"/>
    <col min="4878" max="4878" width="15.85546875" style="297" customWidth="1"/>
    <col min="4879" max="4879" width="14.5703125" style="297" customWidth="1"/>
    <col min="4880" max="4913" width="17.5703125" style="297" customWidth="1"/>
    <col min="4914" max="4914" width="19.85546875" style="297" customWidth="1"/>
    <col min="4915" max="4943" width="17.5703125" style="297" customWidth="1"/>
    <col min="4944" max="4944" width="20.85546875" style="297" customWidth="1"/>
    <col min="4945" max="5120" width="9.140625" style="297"/>
    <col min="5121" max="5121" width="0" style="297" hidden="1" customWidth="1"/>
    <col min="5122" max="5122" width="26.140625" style="297" customWidth="1"/>
    <col min="5123" max="5124" width="17.5703125" style="297" customWidth="1"/>
    <col min="5125" max="5125" width="20.7109375" style="297" customWidth="1"/>
    <col min="5126" max="5133" width="17.5703125" style="297" customWidth="1"/>
    <col min="5134" max="5134" width="15.85546875" style="297" customWidth="1"/>
    <col min="5135" max="5135" width="14.5703125" style="297" customWidth="1"/>
    <col min="5136" max="5169" width="17.5703125" style="297" customWidth="1"/>
    <col min="5170" max="5170" width="19.85546875" style="297" customWidth="1"/>
    <col min="5171" max="5199" width="17.5703125" style="297" customWidth="1"/>
    <col min="5200" max="5200" width="20.85546875" style="297" customWidth="1"/>
    <col min="5201" max="5376" width="9.140625" style="297"/>
    <col min="5377" max="5377" width="0" style="297" hidden="1" customWidth="1"/>
    <col min="5378" max="5378" width="26.140625" style="297" customWidth="1"/>
    <col min="5379" max="5380" width="17.5703125" style="297" customWidth="1"/>
    <col min="5381" max="5381" width="20.7109375" style="297" customWidth="1"/>
    <col min="5382" max="5389" width="17.5703125" style="297" customWidth="1"/>
    <col min="5390" max="5390" width="15.85546875" style="297" customWidth="1"/>
    <col min="5391" max="5391" width="14.5703125" style="297" customWidth="1"/>
    <col min="5392" max="5425" width="17.5703125" style="297" customWidth="1"/>
    <col min="5426" max="5426" width="19.85546875" style="297" customWidth="1"/>
    <col min="5427" max="5455" width="17.5703125" style="297" customWidth="1"/>
    <col min="5456" max="5456" width="20.85546875" style="297" customWidth="1"/>
    <col min="5457" max="5632" width="9.140625" style="297"/>
    <col min="5633" max="5633" width="0" style="297" hidden="1" customWidth="1"/>
    <col min="5634" max="5634" width="26.140625" style="297" customWidth="1"/>
    <col min="5635" max="5636" width="17.5703125" style="297" customWidth="1"/>
    <col min="5637" max="5637" width="20.7109375" style="297" customWidth="1"/>
    <col min="5638" max="5645" width="17.5703125" style="297" customWidth="1"/>
    <col min="5646" max="5646" width="15.85546875" style="297" customWidth="1"/>
    <col min="5647" max="5647" width="14.5703125" style="297" customWidth="1"/>
    <col min="5648" max="5681" width="17.5703125" style="297" customWidth="1"/>
    <col min="5682" max="5682" width="19.85546875" style="297" customWidth="1"/>
    <col min="5683" max="5711" width="17.5703125" style="297" customWidth="1"/>
    <col min="5712" max="5712" width="20.85546875" style="297" customWidth="1"/>
    <col min="5713" max="5888" width="9.140625" style="297"/>
    <col min="5889" max="5889" width="0" style="297" hidden="1" customWidth="1"/>
    <col min="5890" max="5890" width="26.140625" style="297" customWidth="1"/>
    <col min="5891" max="5892" width="17.5703125" style="297" customWidth="1"/>
    <col min="5893" max="5893" width="20.7109375" style="297" customWidth="1"/>
    <col min="5894" max="5901" width="17.5703125" style="297" customWidth="1"/>
    <col min="5902" max="5902" width="15.85546875" style="297" customWidth="1"/>
    <col min="5903" max="5903" width="14.5703125" style="297" customWidth="1"/>
    <col min="5904" max="5937" width="17.5703125" style="297" customWidth="1"/>
    <col min="5938" max="5938" width="19.85546875" style="297" customWidth="1"/>
    <col min="5939" max="5967" width="17.5703125" style="297" customWidth="1"/>
    <col min="5968" max="5968" width="20.85546875" style="297" customWidth="1"/>
    <col min="5969" max="6144" width="9.140625" style="297"/>
    <col min="6145" max="6145" width="0" style="297" hidden="1" customWidth="1"/>
    <col min="6146" max="6146" width="26.140625" style="297" customWidth="1"/>
    <col min="6147" max="6148" width="17.5703125" style="297" customWidth="1"/>
    <col min="6149" max="6149" width="20.7109375" style="297" customWidth="1"/>
    <col min="6150" max="6157" width="17.5703125" style="297" customWidth="1"/>
    <col min="6158" max="6158" width="15.85546875" style="297" customWidth="1"/>
    <col min="6159" max="6159" width="14.5703125" style="297" customWidth="1"/>
    <col min="6160" max="6193" width="17.5703125" style="297" customWidth="1"/>
    <col min="6194" max="6194" width="19.85546875" style="297" customWidth="1"/>
    <col min="6195" max="6223" width="17.5703125" style="297" customWidth="1"/>
    <col min="6224" max="6224" width="20.85546875" style="297" customWidth="1"/>
    <col min="6225" max="6400" width="9.140625" style="297"/>
    <col min="6401" max="6401" width="0" style="297" hidden="1" customWidth="1"/>
    <col min="6402" max="6402" width="26.140625" style="297" customWidth="1"/>
    <col min="6403" max="6404" width="17.5703125" style="297" customWidth="1"/>
    <col min="6405" max="6405" width="20.7109375" style="297" customWidth="1"/>
    <col min="6406" max="6413" width="17.5703125" style="297" customWidth="1"/>
    <col min="6414" max="6414" width="15.85546875" style="297" customWidth="1"/>
    <col min="6415" max="6415" width="14.5703125" style="297" customWidth="1"/>
    <col min="6416" max="6449" width="17.5703125" style="297" customWidth="1"/>
    <col min="6450" max="6450" width="19.85546875" style="297" customWidth="1"/>
    <col min="6451" max="6479" width="17.5703125" style="297" customWidth="1"/>
    <col min="6480" max="6480" width="20.85546875" style="297" customWidth="1"/>
    <col min="6481" max="6656" width="9.140625" style="297"/>
    <col min="6657" max="6657" width="0" style="297" hidden="1" customWidth="1"/>
    <col min="6658" max="6658" width="26.140625" style="297" customWidth="1"/>
    <col min="6659" max="6660" width="17.5703125" style="297" customWidth="1"/>
    <col min="6661" max="6661" width="20.7109375" style="297" customWidth="1"/>
    <col min="6662" max="6669" width="17.5703125" style="297" customWidth="1"/>
    <col min="6670" max="6670" width="15.85546875" style="297" customWidth="1"/>
    <col min="6671" max="6671" width="14.5703125" style="297" customWidth="1"/>
    <col min="6672" max="6705" width="17.5703125" style="297" customWidth="1"/>
    <col min="6706" max="6706" width="19.85546875" style="297" customWidth="1"/>
    <col min="6707" max="6735" width="17.5703125" style="297" customWidth="1"/>
    <col min="6736" max="6736" width="20.85546875" style="297" customWidth="1"/>
    <col min="6737" max="6912" width="9.140625" style="297"/>
    <col min="6913" max="6913" width="0" style="297" hidden="1" customWidth="1"/>
    <col min="6914" max="6914" width="26.140625" style="297" customWidth="1"/>
    <col min="6915" max="6916" width="17.5703125" style="297" customWidth="1"/>
    <col min="6917" max="6917" width="20.7109375" style="297" customWidth="1"/>
    <col min="6918" max="6925" width="17.5703125" style="297" customWidth="1"/>
    <col min="6926" max="6926" width="15.85546875" style="297" customWidth="1"/>
    <col min="6927" max="6927" width="14.5703125" style="297" customWidth="1"/>
    <col min="6928" max="6961" width="17.5703125" style="297" customWidth="1"/>
    <col min="6962" max="6962" width="19.85546875" style="297" customWidth="1"/>
    <col min="6963" max="6991" width="17.5703125" style="297" customWidth="1"/>
    <col min="6992" max="6992" width="20.85546875" style="297" customWidth="1"/>
    <col min="6993" max="7168" width="9.140625" style="297"/>
    <col min="7169" max="7169" width="0" style="297" hidden="1" customWidth="1"/>
    <col min="7170" max="7170" width="26.140625" style="297" customWidth="1"/>
    <col min="7171" max="7172" width="17.5703125" style="297" customWidth="1"/>
    <col min="7173" max="7173" width="20.7109375" style="297" customWidth="1"/>
    <col min="7174" max="7181" width="17.5703125" style="297" customWidth="1"/>
    <col min="7182" max="7182" width="15.85546875" style="297" customWidth="1"/>
    <col min="7183" max="7183" width="14.5703125" style="297" customWidth="1"/>
    <col min="7184" max="7217" width="17.5703125" style="297" customWidth="1"/>
    <col min="7218" max="7218" width="19.85546875" style="297" customWidth="1"/>
    <col min="7219" max="7247" width="17.5703125" style="297" customWidth="1"/>
    <col min="7248" max="7248" width="20.85546875" style="297" customWidth="1"/>
    <col min="7249" max="7424" width="9.140625" style="297"/>
    <col min="7425" max="7425" width="0" style="297" hidden="1" customWidth="1"/>
    <col min="7426" max="7426" width="26.140625" style="297" customWidth="1"/>
    <col min="7427" max="7428" width="17.5703125" style="297" customWidth="1"/>
    <col min="7429" max="7429" width="20.7109375" style="297" customWidth="1"/>
    <col min="7430" max="7437" width="17.5703125" style="297" customWidth="1"/>
    <col min="7438" max="7438" width="15.85546875" style="297" customWidth="1"/>
    <col min="7439" max="7439" width="14.5703125" style="297" customWidth="1"/>
    <col min="7440" max="7473" width="17.5703125" style="297" customWidth="1"/>
    <col min="7474" max="7474" width="19.85546875" style="297" customWidth="1"/>
    <col min="7475" max="7503" width="17.5703125" style="297" customWidth="1"/>
    <col min="7504" max="7504" width="20.85546875" style="297" customWidth="1"/>
    <col min="7505" max="7680" width="9.140625" style="297"/>
    <col min="7681" max="7681" width="0" style="297" hidden="1" customWidth="1"/>
    <col min="7682" max="7682" width="26.140625" style="297" customWidth="1"/>
    <col min="7683" max="7684" width="17.5703125" style="297" customWidth="1"/>
    <col min="7685" max="7685" width="20.7109375" style="297" customWidth="1"/>
    <col min="7686" max="7693" width="17.5703125" style="297" customWidth="1"/>
    <col min="7694" max="7694" width="15.85546875" style="297" customWidth="1"/>
    <col min="7695" max="7695" width="14.5703125" style="297" customWidth="1"/>
    <col min="7696" max="7729" width="17.5703125" style="297" customWidth="1"/>
    <col min="7730" max="7730" width="19.85546875" style="297" customWidth="1"/>
    <col min="7731" max="7759" width="17.5703125" style="297" customWidth="1"/>
    <col min="7760" max="7760" width="20.85546875" style="297" customWidth="1"/>
    <col min="7761" max="7936" width="9.140625" style="297"/>
    <col min="7937" max="7937" width="0" style="297" hidden="1" customWidth="1"/>
    <col min="7938" max="7938" width="26.140625" style="297" customWidth="1"/>
    <col min="7939" max="7940" width="17.5703125" style="297" customWidth="1"/>
    <col min="7941" max="7941" width="20.7109375" style="297" customWidth="1"/>
    <col min="7942" max="7949" width="17.5703125" style="297" customWidth="1"/>
    <col min="7950" max="7950" width="15.85546875" style="297" customWidth="1"/>
    <col min="7951" max="7951" width="14.5703125" style="297" customWidth="1"/>
    <col min="7952" max="7985" width="17.5703125" style="297" customWidth="1"/>
    <col min="7986" max="7986" width="19.85546875" style="297" customWidth="1"/>
    <col min="7987" max="8015" width="17.5703125" style="297" customWidth="1"/>
    <col min="8016" max="8016" width="20.85546875" style="297" customWidth="1"/>
    <col min="8017" max="8192" width="9.140625" style="297"/>
    <col min="8193" max="8193" width="0" style="297" hidden="1" customWidth="1"/>
    <col min="8194" max="8194" width="26.140625" style="297" customWidth="1"/>
    <col min="8195" max="8196" width="17.5703125" style="297" customWidth="1"/>
    <col min="8197" max="8197" width="20.7109375" style="297" customWidth="1"/>
    <col min="8198" max="8205" width="17.5703125" style="297" customWidth="1"/>
    <col min="8206" max="8206" width="15.85546875" style="297" customWidth="1"/>
    <col min="8207" max="8207" width="14.5703125" style="297" customWidth="1"/>
    <col min="8208" max="8241" width="17.5703125" style="297" customWidth="1"/>
    <col min="8242" max="8242" width="19.85546875" style="297" customWidth="1"/>
    <col min="8243" max="8271" width="17.5703125" style="297" customWidth="1"/>
    <col min="8272" max="8272" width="20.85546875" style="297" customWidth="1"/>
    <col min="8273" max="8448" width="9.140625" style="297"/>
    <col min="8449" max="8449" width="0" style="297" hidden="1" customWidth="1"/>
    <col min="8450" max="8450" width="26.140625" style="297" customWidth="1"/>
    <col min="8451" max="8452" width="17.5703125" style="297" customWidth="1"/>
    <col min="8453" max="8453" width="20.7109375" style="297" customWidth="1"/>
    <col min="8454" max="8461" width="17.5703125" style="297" customWidth="1"/>
    <col min="8462" max="8462" width="15.85546875" style="297" customWidth="1"/>
    <col min="8463" max="8463" width="14.5703125" style="297" customWidth="1"/>
    <col min="8464" max="8497" width="17.5703125" style="297" customWidth="1"/>
    <col min="8498" max="8498" width="19.85546875" style="297" customWidth="1"/>
    <col min="8499" max="8527" width="17.5703125" style="297" customWidth="1"/>
    <col min="8528" max="8528" width="20.85546875" style="297" customWidth="1"/>
    <col min="8529" max="8704" width="9.140625" style="297"/>
    <col min="8705" max="8705" width="0" style="297" hidden="1" customWidth="1"/>
    <col min="8706" max="8706" width="26.140625" style="297" customWidth="1"/>
    <col min="8707" max="8708" width="17.5703125" style="297" customWidth="1"/>
    <col min="8709" max="8709" width="20.7109375" style="297" customWidth="1"/>
    <col min="8710" max="8717" width="17.5703125" style="297" customWidth="1"/>
    <col min="8718" max="8718" width="15.85546875" style="297" customWidth="1"/>
    <col min="8719" max="8719" width="14.5703125" style="297" customWidth="1"/>
    <col min="8720" max="8753" width="17.5703125" style="297" customWidth="1"/>
    <col min="8754" max="8754" width="19.85546875" style="297" customWidth="1"/>
    <col min="8755" max="8783" width="17.5703125" style="297" customWidth="1"/>
    <col min="8784" max="8784" width="20.85546875" style="297" customWidth="1"/>
    <col min="8785" max="8960" width="9.140625" style="297"/>
    <col min="8961" max="8961" width="0" style="297" hidden="1" customWidth="1"/>
    <col min="8962" max="8962" width="26.140625" style="297" customWidth="1"/>
    <col min="8963" max="8964" width="17.5703125" style="297" customWidth="1"/>
    <col min="8965" max="8965" width="20.7109375" style="297" customWidth="1"/>
    <col min="8966" max="8973" width="17.5703125" style="297" customWidth="1"/>
    <col min="8974" max="8974" width="15.85546875" style="297" customWidth="1"/>
    <col min="8975" max="8975" width="14.5703125" style="297" customWidth="1"/>
    <col min="8976" max="9009" width="17.5703125" style="297" customWidth="1"/>
    <col min="9010" max="9010" width="19.85546875" style="297" customWidth="1"/>
    <col min="9011" max="9039" width="17.5703125" style="297" customWidth="1"/>
    <col min="9040" max="9040" width="20.85546875" style="297" customWidth="1"/>
    <col min="9041" max="9216" width="9.140625" style="297"/>
    <col min="9217" max="9217" width="0" style="297" hidden="1" customWidth="1"/>
    <col min="9218" max="9218" width="26.140625" style="297" customWidth="1"/>
    <col min="9219" max="9220" width="17.5703125" style="297" customWidth="1"/>
    <col min="9221" max="9221" width="20.7109375" style="297" customWidth="1"/>
    <col min="9222" max="9229" width="17.5703125" style="297" customWidth="1"/>
    <col min="9230" max="9230" width="15.85546875" style="297" customWidth="1"/>
    <col min="9231" max="9231" width="14.5703125" style="297" customWidth="1"/>
    <col min="9232" max="9265" width="17.5703125" style="297" customWidth="1"/>
    <col min="9266" max="9266" width="19.85546875" style="297" customWidth="1"/>
    <col min="9267" max="9295" width="17.5703125" style="297" customWidth="1"/>
    <col min="9296" max="9296" width="20.85546875" style="297" customWidth="1"/>
    <col min="9297" max="9472" width="9.140625" style="297"/>
    <col min="9473" max="9473" width="0" style="297" hidden="1" customWidth="1"/>
    <col min="9474" max="9474" width="26.140625" style="297" customWidth="1"/>
    <col min="9475" max="9476" width="17.5703125" style="297" customWidth="1"/>
    <col min="9477" max="9477" width="20.7109375" style="297" customWidth="1"/>
    <col min="9478" max="9485" width="17.5703125" style="297" customWidth="1"/>
    <col min="9486" max="9486" width="15.85546875" style="297" customWidth="1"/>
    <col min="9487" max="9487" width="14.5703125" style="297" customWidth="1"/>
    <col min="9488" max="9521" width="17.5703125" style="297" customWidth="1"/>
    <col min="9522" max="9522" width="19.85546875" style="297" customWidth="1"/>
    <col min="9523" max="9551" width="17.5703125" style="297" customWidth="1"/>
    <col min="9552" max="9552" width="20.85546875" style="297" customWidth="1"/>
    <col min="9553" max="9728" width="9.140625" style="297"/>
    <col min="9729" max="9729" width="0" style="297" hidden="1" customWidth="1"/>
    <col min="9730" max="9730" width="26.140625" style="297" customWidth="1"/>
    <col min="9731" max="9732" width="17.5703125" style="297" customWidth="1"/>
    <col min="9733" max="9733" width="20.7109375" style="297" customWidth="1"/>
    <col min="9734" max="9741" width="17.5703125" style="297" customWidth="1"/>
    <col min="9742" max="9742" width="15.85546875" style="297" customWidth="1"/>
    <col min="9743" max="9743" width="14.5703125" style="297" customWidth="1"/>
    <col min="9744" max="9777" width="17.5703125" style="297" customWidth="1"/>
    <col min="9778" max="9778" width="19.85546875" style="297" customWidth="1"/>
    <col min="9779" max="9807" width="17.5703125" style="297" customWidth="1"/>
    <col min="9808" max="9808" width="20.85546875" style="297" customWidth="1"/>
    <col min="9809" max="9984" width="9.140625" style="297"/>
    <col min="9985" max="9985" width="0" style="297" hidden="1" customWidth="1"/>
    <col min="9986" max="9986" width="26.140625" style="297" customWidth="1"/>
    <col min="9987" max="9988" width="17.5703125" style="297" customWidth="1"/>
    <col min="9989" max="9989" width="20.7109375" style="297" customWidth="1"/>
    <col min="9990" max="9997" width="17.5703125" style="297" customWidth="1"/>
    <col min="9998" max="9998" width="15.85546875" style="297" customWidth="1"/>
    <col min="9999" max="9999" width="14.5703125" style="297" customWidth="1"/>
    <col min="10000" max="10033" width="17.5703125" style="297" customWidth="1"/>
    <col min="10034" max="10034" width="19.85546875" style="297" customWidth="1"/>
    <col min="10035" max="10063" width="17.5703125" style="297" customWidth="1"/>
    <col min="10064" max="10064" width="20.85546875" style="297" customWidth="1"/>
    <col min="10065" max="10240" width="9.140625" style="297"/>
    <col min="10241" max="10241" width="0" style="297" hidden="1" customWidth="1"/>
    <col min="10242" max="10242" width="26.140625" style="297" customWidth="1"/>
    <col min="10243" max="10244" width="17.5703125" style="297" customWidth="1"/>
    <col min="10245" max="10245" width="20.7109375" style="297" customWidth="1"/>
    <col min="10246" max="10253" width="17.5703125" style="297" customWidth="1"/>
    <col min="10254" max="10254" width="15.85546875" style="297" customWidth="1"/>
    <col min="10255" max="10255" width="14.5703125" style="297" customWidth="1"/>
    <col min="10256" max="10289" width="17.5703125" style="297" customWidth="1"/>
    <col min="10290" max="10290" width="19.85546875" style="297" customWidth="1"/>
    <col min="10291" max="10319" width="17.5703125" style="297" customWidth="1"/>
    <col min="10320" max="10320" width="20.85546875" style="297" customWidth="1"/>
    <col min="10321" max="10496" width="9.140625" style="297"/>
    <col min="10497" max="10497" width="0" style="297" hidden="1" customWidth="1"/>
    <col min="10498" max="10498" width="26.140625" style="297" customWidth="1"/>
    <col min="10499" max="10500" width="17.5703125" style="297" customWidth="1"/>
    <col min="10501" max="10501" width="20.7109375" style="297" customWidth="1"/>
    <col min="10502" max="10509" width="17.5703125" style="297" customWidth="1"/>
    <col min="10510" max="10510" width="15.85546875" style="297" customWidth="1"/>
    <col min="10511" max="10511" width="14.5703125" style="297" customWidth="1"/>
    <col min="10512" max="10545" width="17.5703125" style="297" customWidth="1"/>
    <col min="10546" max="10546" width="19.85546875" style="297" customWidth="1"/>
    <col min="10547" max="10575" width="17.5703125" style="297" customWidth="1"/>
    <col min="10576" max="10576" width="20.85546875" style="297" customWidth="1"/>
    <col min="10577" max="10752" width="9.140625" style="297"/>
    <col min="10753" max="10753" width="0" style="297" hidden="1" customWidth="1"/>
    <col min="10754" max="10754" width="26.140625" style="297" customWidth="1"/>
    <col min="10755" max="10756" width="17.5703125" style="297" customWidth="1"/>
    <col min="10757" max="10757" width="20.7109375" style="297" customWidth="1"/>
    <col min="10758" max="10765" width="17.5703125" style="297" customWidth="1"/>
    <col min="10766" max="10766" width="15.85546875" style="297" customWidth="1"/>
    <col min="10767" max="10767" width="14.5703125" style="297" customWidth="1"/>
    <col min="10768" max="10801" width="17.5703125" style="297" customWidth="1"/>
    <col min="10802" max="10802" width="19.85546875" style="297" customWidth="1"/>
    <col min="10803" max="10831" width="17.5703125" style="297" customWidth="1"/>
    <col min="10832" max="10832" width="20.85546875" style="297" customWidth="1"/>
    <col min="10833" max="11008" width="9.140625" style="297"/>
    <col min="11009" max="11009" width="0" style="297" hidden="1" customWidth="1"/>
    <col min="11010" max="11010" width="26.140625" style="297" customWidth="1"/>
    <col min="11011" max="11012" width="17.5703125" style="297" customWidth="1"/>
    <col min="11013" max="11013" width="20.7109375" style="297" customWidth="1"/>
    <col min="11014" max="11021" width="17.5703125" style="297" customWidth="1"/>
    <col min="11022" max="11022" width="15.85546875" style="297" customWidth="1"/>
    <col min="11023" max="11023" width="14.5703125" style="297" customWidth="1"/>
    <col min="11024" max="11057" width="17.5703125" style="297" customWidth="1"/>
    <col min="11058" max="11058" width="19.85546875" style="297" customWidth="1"/>
    <col min="11059" max="11087" width="17.5703125" style="297" customWidth="1"/>
    <col min="11088" max="11088" width="20.85546875" style="297" customWidth="1"/>
    <col min="11089" max="11264" width="9.140625" style="297"/>
    <col min="11265" max="11265" width="0" style="297" hidden="1" customWidth="1"/>
    <col min="11266" max="11266" width="26.140625" style="297" customWidth="1"/>
    <col min="11267" max="11268" width="17.5703125" style="297" customWidth="1"/>
    <col min="11269" max="11269" width="20.7109375" style="297" customWidth="1"/>
    <col min="11270" max="11277" width="17.5703125" style="297" customWidth="1"/>
    <col min="11278" max="11278" width="15.85546875" style="297" customWidth="1"/>
    <col min="11279" max="11279" width="14.5703125" style="297" customWidth="1"/>
    <col min="11280" max="11313" width="17.5703125" style="297" customWidth="1"/>
    <col min="11314" max="11314" width="19.85546875" style="297" customWidth="1"/>
    <col min="11315" max="11343" width="17.5703125" style="297" customWidth="1"/>
    <col min="11344" max="11344" width="20.85546875" style="297" customWidth="1"/>
    <col min="11345" max="11520" width="9.140625" style="297"/>
    <col min="11521" max="11521" width="0" style="297" hidden="1" customWidth="1"/>
    <col min="11522" max="11522" width="26.140625" style="297" customWidth="1"/>
    <col min="11523" max="11524" width="17.5703125" style="297" customWidth="1"/>
    <col min="11525" max="11525" width="20.7109375" style="297" customWidth="1"/>
    <col min="11526" max="11533" width="17.5703125" style="297" customWidth="1"/>
    <col min="11534" max="11534" width="15.85546875" style="297" customWidth="1"/>
    <col min="11535" max="11535" width="14.5703125" style="297" customWidth="1"/>
    <col min="11536" max="11569" width="17.5703125" style="297" customWidth="1"/>
    <col min="11570" max="11570" width="19.85546875" style="297" customWidth="1"/>
    <col min="11571" max="11599" width="17.5703125" style="297" customWidth="1"/>
    <col min="11600" max="11600" width="20.85546875" style="297" customWidth="1"/>
    <col min="11601" max="11776" width="9.140625" style="297"/>
    <col min="11777" max="11777" width="0" style="297" hidden="1" customWidth="1"/>
    <col min="11778" max="11778" width="26.140625" style="297" customWidth="1"/>
    <col min="11779" max="11780" width="17.5703125" style="297" customWidth="1"/>
    <col min="11781" max="11781" width="20.7109375" style="297" customWidth="1"/>
    <col min="11782" max="11789" width="17.5703125" style="297" customWidth="1"/>
    <col min="11790" max="11790" width="15.85546875" style="297" customWidth="1"/>
    <col min="11791" max="11791" width="14.5703125" style="297" customWidth="1"/>
    <col min="11792" max="11825" width="17.5703125" style="297" customWidth="1"/>
    <col min="11826" max="11826" width="19.85546875" style="297" customWidth="1"/>
    <col min="11827" max="11855" width="17.5703125" style="297" customWidth="1"/>
    <col min="11856" max="11856" width="20.85546875" style="297" customWidth="1"/>
    <col min="11857" max="12032" width="9.140625" style="297"/>
    <col min="12033" max="12033" width="0" style="297" hidden="1" customWidth="1"/>
    <col min="12034" max="12034" width="26.140625" style="297" customWidth="1"/>
    <col min="12035" max="12036" width="17.5703125" style="297" customWidth="1"/>
    <col min="12037" max="12037" width="20.7109375" style="297" customWidth="1"/>
    <col min="12038" max="12045" width="17.5703125" style="297" customWidth="1"/>
    <col min="12046" max="12046" width="15.85546875" style="297" customWidth="1"/>
    <col min="12047" max="12047" width="14.5703125" style="297" customWidth="1"/>
    <col min="12048" max="12081" width="17.5703125" style="297" customWidth="1"/>
    <col min="12082" max="12082" width="19.85546875" style="297" customWidth="1"/>
    <col min="12083" max="12111" width="17.5703125" style="297" customWidth="1"/>
    <col min="12112" max="12112" width="20.85546875" style="297" customWidth="1"/>
    <col min="12113" max="12288" width="9.140625" style="297"/>
    <col min="12289" max="12289" width="0" style="297" hidden="1" customWidth="1"/>
    <col min="12290" max="12290" width="26.140625" style="297" customWidth="1"/>
    <col min="12291" max="12292" width="17.5703125" style="297" customWidth="1"/>
    <col min="12293" max="12293" width="20.7109375" style="297" customWidth="1"/>
    <col min="12294" max="12301" width="17.5703125" style="297" customWidth="1"/>
    <col min="12302" max="12302" width="15.85546875" style="297" customWidth="1"/>
    <col min="12303" max="12303" width="14.5703125" style="297" customWidth="1"/>
    <col min="12304" max="12337" width="17.5703125" style="297" customWidth="1"/>
    <col min="12338" max="12338" width="19.85546875" style="297" customWidth="1"/>
    <col min="12339" max="12367" width="17.5703125" style="297" customWidth="1"/>
    <col min="12368" max="12368" width="20.85546875" style="297" customWidth="1"/>
    <col min="12369" max="12544" width="9.140625" style="297"/>
    <col min="12545" max="12545" width="0" style="297" hidden="1" customWidth="1"/>
    <col min="12546" max="12546" width="26.140625" style="297" customWidth="1"/>
    <col min="12547" max="12548" width="17.5703125" style="297" customWidth="1"/>
    <col min="12549" max="12549" width="20.7109375" style="297" customWidth="1"/>
    <col min="12550" max="12557" width="17.5703125" style="297" customWidth="1"/>
    <col min="12558" max="12558" width="15.85546875" style="297" customWidth="1"/>
    <col min="12559" max="12559" width="14.5703125" style="297" customWidth="1"/>
    <col min="12560" max="12593" width="17.5703125" style="297" customWidth="1"/>
    <col min="12594" max="12594" width="19.85546875" style="297" customWidth="1"/>
    <col min="12595" max="12623" width="17.5703125" style="297" customWidth="1"/>
    <col min="12624" max="12624" width="20.85546875" style="297" customWidth="1"/>
    <col min="12625" max="12800" width="9.140625" style="297"/>
    <col min="12801" max="12801" width="0" style="297" hidden="1" customWidth="1"/>
    <col min="12802" max="12802" width="26.140625" style="297" customWidth="1"/>
    <col min="12803" max="12804" width="17.5703125" style="297" customWidth="1"/>
    <col min="12805" max="12805" width="20.7109375" style="297" customWidth="1"/>
    <col min="12806" max="12813" width="17.5703125" style="297" customWidth="1"/>
    <col min="12814" max="12814" width="15.85546875" style="297" customWidth="1"/>
    <col min="12815" max="12815" width="14.5703125" style="297" customWidth="1"/>
    <col min="12816" max="12849" width="17.5703125" style="297" customWidth="1"/>
    <col min="12850" max="12850" width="19.85546875" style="297" customWidth="1"/>
    <col min="12851" max="12879" width="17.5703125" style="297" customWidth="1"/>
    <col min="12880" max="12880" width="20.85546875" style="297" customWidth="1"/>
    <col min="12881" max="13056" width="9.140625" style="297"/>
    <col min="13057" max="13057" width="0" style="297" hidden="1" customWidth="1"/>
    <col min="13058" max="13058" width="26.140625" style="297" customWidth="1"/>
    <col min="13059" max="13060" width="17.5703125" style="297" customWidth="1"/>
    <col min="13061" max="13061" width="20.7109375" style="297" customWidth="1"/>
    <col min="13062" max="13069" width="17.5703125" style="297" customWidth="1"/>
    <col min="13070" max="13070" width="15.85546875" style="297" customWidth="1"/>
    <col min="13071" max="13071" width="14.5703125" style="297" customWidth="1"/>
    <col min="13072" max="13105" width="17.5703125" style="297" customWidth="1"/>
    <col min="13106" max="13106" width="19.85546875" style="297" customWidth="1"/>
    <col min="13107" max="13135" width="17.5703125" style="297" customWidth="1"/>
    <col min="13136" max="13136" width="20.85546875" style="297" customWidth="1"/>
    <col min="13137" max="13312" width="9.140625" style="297"/>
    <col min="13313" max="13313" width="0" style="297" hidden="1" customWidth="1"/>
    <col min="13314" max="13314" width="26.140625" style="297" customWidth="1"/>
    <col min="13315" max="13316" width="17.5703125" style="297" customWidth="1"/>
    <col min="13317" max="13317" width="20.7109375" style="297" customWidth="1"/>
    <col min="13318" max="13325" width="17.5703125" style="297" customWidth="1"/>
    <col min="13326" max="13326" width="15.85546875" style="297" customWidth="1"/>
    <col min="13327" max="13327" width="14.5703125" style="297" customWidth="1"/>
    <col min="13328" max="13361" width="17.5703125" style="297" customWidth="1"/>
    <col min="13362" max="13362" width="19.85546875" style="297" customWidth="1"/>
    <col min="13363" max="13391" width="17.5703125" style="297" customWidth="1"/>
    <col min="13392" max="13392" width="20.85546875" style="297" customWidth="1"/>
    <col min="13393" max="13568" width="9.140625" style="297"/>
    <col min="13569" max="13569" width="0" style="297" hidden="1" customWidth="1"/>
    <col min="13570" max="13570" width="26.140625" style="297" customWidth="1"/>
    <col min="13571" max="13572" width="17.5703125" style="297" customWidth="1"/>
    <col min="13573" max="13573" width="20.7109375" style="297" customWidth="1"/>
    <col min="13574" max="13581" width="17.5703125" style="297" customWidth="1"/>
    <col min="13582" max="13582" width="15.85546875" style="297" customWidth="1"/>
    <col min="13583" max="13583" width="14.5703125" style="297" customWidth="1"/>
    <col min="13584" max="13617" width="17.5703125" style="297" customWidth="1"/>
    <col min="13618" max="13618" width="19.85546875" style="297" customWidth="1"/>
    <col min="13619" max="13647" width="17.5703125" style="297" customWidth="1"/>
    <col min="13648" max="13648" width="20.85546875" style="297" customWidth="1"/>
    <col min="13649" max="13824" width="9.140625" style="297"/>
    <col min="13825" max="13825" width="0" style="297" hidden="1" customWidth="1"/>
    <col min="13826" max="13826" width="26.140625" style="297" customWidth="1"/>
    <col min="13827" max="13828" width="17.5703125" style="297" customWidth="1"/>
    <col min="13829" max="13829" width="20.7109375" style="297" customWidth="1"/>
    <col min="13830" max="13837" width="17.5703125" style="297" customWidth="1"/>
    <col min="13838" max="13838" width="15.85546875" style="297" customWidth="1"/>
    <col min="13839" max="13839" width="14.5703125" style="297" customWidth="1"/>
    <col min="13840" max="13873" width="17.5703125" style="297" customWidth="1"/>
    <col min="13874" max="13874" width="19.85546875" style="297" customWidth="1"/>
    <col min="13875" max="13903" width="17.5703125" style="297" customWidth="1"/>
    <col min="13904" max="13904" width="20.85546875" style="297" customWidth="1"/>
    <col min="13905" max="14080" width="9.140625" style="297"/>
    <col min="14081" max="14081" width="0" style="297" hidden="1" customWidth="1"/>
    <col min="14082" max="14082" width="26.140625" style="297" customWidth="1"/>
    <col min="14083" max="14084" width="17.5703125" style="297" customWidth="1"/>
    <col min="14085" max="14085" width="20.7109375" style="297" customWidth="1"/>
    <col min="14086" max="14093" width="17.5703125" style="297" customWidth="1"/>
    <col min="14094" max="14094" width="15.85546875" style="297" customWidth="1"/>
    <col min="14095" max="14095" width="14.5703125" style="297" customWidth="1"/>
    <col min="14096" max="14129" width="17.5703125" style="297" customWidth="1"/>
    <col min="14130" max="14130" width="19.85546875" style="297" customWidth="1"/>
    <col min="14131" max="14159" width="17.5703125" style="297" customWidth="1"/>
    <col min="14160" max="14160" width="20.85546875" style="297" customWidth="1"/>
    <col min="14161" max="14336" width="9.140625" style="297"/>
    <col min="14337" max="14337" width="0" style="297" hidden="1" customWidth="1"/>
    <col min="14338" max="14338" width="26.140625" style="297" customWidth="1"/>
    <col min="14339" max="14340" width="17.5703125" style="297" customWidth="1"/>
    <col min="14341" max="14341" width="20.7109375" style="297" customWidth="1"/>
    <col min="14342" max="14349" width="17.5703125" style="297" customWidth="1"/>
    <col min="14350" max="14350" width="15.85546875" style="297" customWidth="1"/>
    <col min="14351" max="14351" width="14.5703125" style="297" customWidth="1"/>
    <col min="14352" max="14385" width="17.5703125" style="297" customWidth="1"/>
    <col min="14386" max="14386" width="19.85546875" style="297" customWidth="1"/>
    <col min="14387" max="14415" width="17.5703125" style="297" customWidth="1"/>
    <col min="14416" max="14416" width="20.85546875" style="297" customWidth="1"/>
    <col min="14417" max="14592" width="9.140625" style="297"/>
    <col min="14593" max="14593" width="0" style="297" hidden="1" customWidth="1"/>
    <col min="14594" max="14594" width="26.140625" style="297" customWidth="1"/>
    <col min="14595" max="14596" width="17.5703125" style="297" customWidth="1"/>
    <col min="14597" max="14597" width="20.7109375" style="297" customWidth="1"/>
    <col min="14598" max="14605" width="17.5703125" style="297" customWidth="1"/>
    <col min="14606" max="14606" width="15.85546875" style="297" customWidth="1"/>
    <col min="14607" max="14607" width="14.5703125" style="297" customWidth="1"/>
    <col min="14608" max="14641" width="17.5703125" style="297" customWidth="1"/>
    <col min="14642" max="14642" width="19.85546875" style="297" customWidth="1"/>
    <col min="14643" max="14671" width="17.5703125" style="297" customWidth="1"/>
    <col min="14672" max="14672" width="20.85546875" style="297" customWidth="1"/>
    <col min="14673" max="14848" width="9.140625" style="297"/>
    <col min="14849" max="14849" width="0" style="297" hidden="1" customWidth="1"/>
    <col min="14850" max="14850" width="26.140625" style="297" customWidth="1"/>
    <col min="14851" max="14852" width="17.5703125" style="297" customWidth="1"/>
    <col min="14853" max="14853" width="20.7109375" style="297" customWidth="1"/>
    <col min="14854" max="14861" width="17.5703125" style="297" customWidth="1"/>
    <col min="14862" max="14862" width="15.85546875" style="297" customWidth="1"/>
    <col min="14863" max="14863" width="14.5703125" style="297" customWidth="1"/>
    <col min="14864" max="14897" width="17.5703125" style="297" customWidth="1"/>
    <col min="14898" max="14898" width="19.85546875" style="297" customWidth="1"/>
    <col min="14899" max="14927" width="17.5703125" style="297" customWidth="1"/>
    <col min="14928" max="14928" width="20.85546875" style="297" customWidth="1"/>
    <col min="14929" max="15104" width="9.140625" style="297"/>
    <col min="15105" max="15105" width="0" style="297" hidden="1" customWidth="1"/>
    <col min="15106" max="15106" width="26.140625" style="297" customWidth="1"/>
    <col min="15107" max="15108" width="17.5703125" style="297" customWidth="1"/>
    <col min="15109" max="15109" width="20.7109375" style="297" customWidth="1"/>
    <col min="15110" max="15117" width="17.5703125" style="297" customWidth="1"/>
    <col min="15118" max="15118" width="15.85546875" style="297" customWidth="1"/>
    <col min="15119" max="15119" width="14.5703125" style="297" customWidth="1"/>
    <col min="15120" max="15153" width="17.5703125" style="297" customWidth="1"/>
    <col min="15154" max="15154" width="19.85546875" style="297" customWidth="1"/>
    <col min="15155" max="15183" width="17.5703125" style="297" customWidth="1"/>
    <col min="15184" max="15184" width="20.85546875" style="297" customWidth="1"/>
    <col min="15185" max="15360" width="9.140625" style="297"/>
    <col min="15361" max="15361" width="0" style="297" hidden="1" customWidth="1"/>
    <col min="15362" max="15362" width="26.140625" style="297" customWidth="1"/>
    <col min="15363" max="15364" width="17.5703125" style="297" customWidth="1"/>
    <col min="15365" max="15365" width="20.7109375" style="297" customWidth="1"/>
    <col min="15366" max="15373" width="17.5703125" style="297" customWidth="1"/>
    <col min="15374" max="15374" width="15.85546875" style="297" customWidth="1"/>
    <col min="15375" max="15375" width="14.5703125" style="297" customWidth="1"/>
    <col min="15376" max="15409" width="17.5703125" style="297" customWidth="1"/>
    <col min="15410" max="15410" width="19.85546875" style="297" customWidth="1"/>
    <col min="15411" max="15439" width="17.5703125" style="297" customWidth="1"/>
    <col min="15440" max="15440" width="20.85546875" style="297" customWidth="1"/>
    <col min="15441" max="15616" width="9.140625" style="297"/>
    <col min="15617" max="15617" width="0" style="297" hidden="1" customWidth="1"/>
    <col min="15618" max="15618" width="26.140625" style="297" customWidth="1"/>
    <col min="15619" max="15620" width="17.5703125" style="297" customWidth="1"/>
    <col min="15621" max="15621" width="20.7109375" style="297" customWidth="1"/>
    <col min="15622" max="15629" width="17.5703125" style="297" customWidth="1"/>
    <col min="15630" max="15630" width="15.85546875" style="297" customWidth="1"/>
    <col min="15631" max="15631" width="14.5703125" style="297" customWidth="1"/>
    <col min="15632" max="15665" width="17.5703125" style="297" customWidth="1"/>
    <col min="15666" max="15666" width="19.85546875" style="297" customWidth="1"/>
    <col min="15667" max="15695" width="17.5703125" style="297" customWidth="1"/>
    <col min="15696" max="15696" width="20.85546875" style="297" customWidth="1"/>
    <col min="15697" max="15872" width="9.140625" style="297"/>
    <col min="15873" max="15873" width="0" style="297" hidden="1" customWidth="1"/>
    <col min="15874" max="15874" width="26.140625" style="297" customWidth="1"/>
    <col min="15875" max="15876" width="17.5703125" style="297" customWidth="1"/>
    <col min="15877" max="15877" width="20.7109375" style="297" customWidth="1"/>
    <col min="15878" max="15885" width="17.5703125" style="297" customWidth="1"/>
    <col min="15886" max="15886" width="15.85546875" style="297" customWidth="1"/>
    <col min="15887" max="15887" width="14.5703125" style="297" customWidth="1"/>
    <col min="15888" max="15921" width="17.5703125" style="297" customWidth="1"/>
    <col min="15922" max="15922" width="19.85546875" style="297" customWidth="1"/>
    <col min="15923" max="15951" width="17.5703125" style="297" customWidth="1"/>
    <col min="15952" max="15952" width="20.85546875" style="297" customWidth="1"/>
    <col min="15953" max="16128" width="9.140625" style="297"/>
    <col min="16129" max="16129" width="0" style="297" hidden="1" customWidth="1"/>
    <col min="16130" max="16130" width="26.140625" style="297" customWidth="1"/>
    <col min="16131" max="16132" width="17.5703125" style="297" customWidth="1"/>
    <col min="16133" max="16133" width="20.7109375" style="297" customWidth="1"/>
    <col min="16134" max="16141" width="17.5703125" style="297" customWidth="1"/>
    <col min="16142" max="16142" width="15.85546875" style="297" customWidth="1"/>
    <col min="16143" max="16143" width="14.5703125" style="297" customWidth="1"/>
    <col min="16144" max="16177" width="17.5703125" style="297" customWidth="1"/>
    <col min="16178" max="16178" width="19.85546875" style="297" customWidth="1"/>
    <col min="16179" max="16207" width="17.5703125" style="297" customWidth="1"/>
    <col min="16208" max="16208" width="20.85546875" style="297" customWidth="1"/>
    <col min="16209" max="16384" width="9.140625" style="297"/>
  </cols>
  <sheetData>
    <row r="1" spans="1:79" ht="66" customHeight="1" x14ac:dyDescent="0.25">
      <c r="A1" s="547"/>
      <c r="B1" s="548"/>
      <c r="C1" s="548" t="s">
        <v>284</v>
      </c>
      <c r="D1" s="548" t="s">
        <v>285</v>
      </c>
      <c r="E1" s="549" t="s">
        <v>441</v>
      </c>
      <c r="F1" s="295"/>
      <c r="G1" s="544" t="s">
        <v>442</v>
      </c>
      <c r="H1" s="545"/>
      <c r="I1" s="545"/>
      <c r="J1" s="546"/>
      <c r="K1" s="541" t="s">
        <v>443</v>
      </c>
      <c r="L1" s="542"/>
      <c r="M1" s="542"/>
      <c r="N1" s="542"/>
      <c r="O1" s="543"/>
      <c r="P1" s="538" t="s">
        <v>444</v>
      </c>
      <c r="Q1" s="539"/>
      <c r="R1" s="539"/>
      <c r="S1" s="540"/>
      <c r="T1" s="538" t="s">
        <v>445</v>
      </c>
      <c r="U1" s="539"/>
      <c r="V1" s="539"/>
      <c r="W1" s="540"/>
      <c r="X1" s="538" t="s">
        <v>446</v>
      </c>
      <c r="Y1" s="539"/>
      <c r="Z1" s="539"/>
      <c r="AA1" s="540"/>
      <c r="AB1" s="541" t="s">
        <v>447</v>
      </c>
      <c r="AC1" s="542"/>
      <c r="AD1" s="542"/>
      <c r="AE1" s="542"/>
      <c r="AF1" s="543"/>
      <c r="AG1" s="538" t="s">
        <v>448</v>
      </c>
      <c r="AH1" s="539"/>
      <c r="AI1" s="539"/>
      <c r="AJ1" s="540"/>
      <c r="AK1" s="538" t="s">
        <v>449</v>
      </c>
      <c r="AL1" s="539"/>
      <c r="AM1" s="539"/>
      <c r="AN1" s="540"/>
      <c r="AO1" s="538" t="s">
        <v>450</v>
      </c>
      <c r="AP1" s="539"/>
      <c r="AQ1" s="539"/>
      <c r="AR1" s="540"/>
      <c r="AS1" s="541" t="s">
        <v>451</v>
      </c>
      <c r="AT1" s="542"/>
      <c r="AU1" s="542"/>
      <c r="AV1" s="542"/>
      <c r="AW1" s="543"/>
      <c r="AX1" s="538" t="s">
        <v>452</v>
      </c>
      <c r="AY1" s="539"/>
      <c r="AZ1" s="539"/>
      <c r="BA1" s="540"/>
      <c r="BB1" s="538" t="s">
        <v>453</v>
      </c>
      <c r="BC1" s="539"/>
      <c r="BD1" s="539"/>
      <c r="BE1" s="540"/>
      <c r="BF1" s="538" t="s">
        <v>454</v>
      </c>
      <c r="BG1" s="539"/>
      <c r="BH1" s="539"/>
      <c r="BI1" s="540"/>
      <c r="BJ1" s="541" t="s">
        <v>455</v>
      </c>
      <c r="BK1" s="542"/>
      <c r="BL1" s="542"/>
      <c r="BM1" s="542"/>
      <c r="BN1" s="543"/>
      <c r="BO1" s="535" t="s">
        <v>456</v>
      </c>
      <c r="BP1" s="536"/>
      <c r="BQ1" s="536"/>
      <c r="BR1" s="537"/>
      <c r="BS1" s="535" t="s">
        <v>457</v>
      </c>
      <c r="BT1" s="536"/>
      <c r="BU1" s="536"/>
      <c r="BV1" s="537"/>
      <c r="BW1" s="535" t="s">
        <v>458</v>
      </c>
      <c r="BX1" s="536"/>
      <c r="BY1" s="536"/>
      <c r="BZ1" s="537"/>
      <c r="CA1" s="296"/>
    </row>
    <row r="2" spans="1:79" ht="84.75" customHeight="1" x14ac:dyDescent="0.25">
      <c r="A2" s="547"/>
      <c r="B2" s="548"/>
      <c r="C2" s="548"/>
      <c r="D2" s="548"/>
      <c r="E2" s="550"/>
      <c r="F2" s="276" t="s">
        <v>459</v>
      </c>
      <c r="G2" s="276" t="s">
        <v>460</v>
      </c>
      <c r="H2" s="276" t="s">
        <v>291</v>
      </c>
      <c r="I2" s="276" t="s">
        <v>289</v>
      </c>
      <c r="J2" s="276" t="s">
        <v>290</v>
      </c>
      <c r="K2" s="276" t="s">
        <v>23</v>
      </c>
      <c r="L2" s="276" t="s">
        <v>461</v>
      </c>
      <c r="M2" s="276" t="s">
        <v>291</v>
      </c>
      <c r="N2" s="276" t="s">
        <v>289</v>
      </c>
      <c r="O2" s="276" t="s">
        <v>290</v>
      </c>
      <c r="P2" s="276" t="s">
        <v>460</v>
      </c>
      <c r="Q2" s="276" t="s">
        <v>291</v>
      </c>
      <c r="R2" s="276" t="s">
        <v>289</v>
      </c>
      <c r="S2" s="276" t="s">
        <v>290</v>
      </c>
      <c r="T2" s="276" t="s">
        <v>460</v>
      </c>
      <c r="U2" s="276" t="s">
        <v>291</v>
      </c>
      <c r="V2" s="276" t="s">
        <v>289</v>
      </c>
      <c r="W2" s="276" t="s">
        <v>290</v>
      </c>
      <c r="X2" s="276" t="s">
        <v>460</v>
      </c>
      <c r="Y2" s="276" t="s">
        <v>291</v>
      </c>
      <c r="Z2" s="276" t="s">
        <v>289</v>
      </c>
      <c r="AA2" s="276" t="s">
        <v>290</v>
      </c>
      <c r="AB2" s="276" t="s">
        <v>23</v>
      </c>
      <c r="AC2" s="276" t="s">
        <v>461</v>
      </c>
      <c r="AD2" s="276" t="s">
        <v>291</v>
      </c>
      <c r="AE2" s="276" t="s">
        <v>289</v>
      </c>
      <c r="AF2" s="276" t="s">
        <v>290</v>
      </c>
      <c r="AG2" s="276" t="s">
        <v>460</v>
      </c>
      <c r="AH2" s="276" t="s">
        <v>291</v>
      </c>
      <c r="AI2" s="276" t="s">
        <v>289</v>
      </c>
      <c r="AJ2" s="276" t="s">
        <v>290</v>
      </c>
      <c r="AK2" s="276" t="s">
        <v>460</v>
      </c>
      <c r="AL2" s="276" t="s">
        <v>291</v>
      </c>
      <c r="AM2" s="276" t="s">
        <v>289</v>
      </c>
      <c r="AN2" s="276" t="s">
        <v>290</v>
      </c>
      <c r="AO2" s="276" t="s">
        <v>460</v>
      </c>
      <c r="AP2" s="276" t="s">
        <v>291</v>
      </c>
      <c r="AQ2" s="276" t="s">
        <v>289</v>
      </c>
      <c r="AR2" s="276" t="s">
        <v>290</v>
      </c>
      <c r="AS2" s="276" t="s">
        <v>23</v>
      </c>
      <c r="AT2" s="276" t="s">
        <v>461</v>
      </c>
      <c r="AU2" s="276" t="s">
        <v>291</v>
      </c>
      <c r="AV2" s="276" t="s">
        <v>289</v>
      </c>
      <c r="AW2" s="276" t="s">
        <v>290</v>
      </c>
      <c r="AX2" s="276" t="s">
        <v>460</v>
      </c>
      <c r="AY2" s="276" t="s">
        <v>291</v>
      </c>
      <c r="AZ2" s="276" t="s">
        <v>289</v>
      </c>
      <c r="BA2" s="276" t="s">
        <v>290</v>
      </c>
      <c r="BB2" s="276" t="s">
        <v>460</v>
      </c>
      <c r="BC2" s="276" t="s">
        <v>291</v>
      </c>
      <c r="BD2" s="276" t="s">
        <v>289</v>
      </c>
      <c r="BE2" s="276" t="s">
        <v>290</v>
      </c>
      <c r="BF2" s="276" t="s">
        <v>460</v>
      </c>
      <c r="BG2" s="276" t="s">
        <v>291</v>
      </c>
      <c r="BH2" s="276" t="s">
        <v>289</v>
      </c>
      <c r="BI2" s="276" t="s">
        <v>290</v>
      </c>
      <c r="BJ2" s="276" t="s">
        <v>23</v>
      </c>
      <c r="BK2" s="276" t="s">
        <v>461</v>
      </c>
      <c r="BL2" s="276" t="s">
        <v>291</v>
      </c>
      <c r="BM2" s="276" t="s">
        <v>289</v>
      </c>
      <c r="BN2" s="276" t="s">
        <v>290</v>
      </c>
      <c r="BO2" s="298" t="s">
        <v>460</v>
      </c>
      <c r="BP2" s="298" t="s">
        <v>291</v>
      </c>
      <c r="BQ2" s="298" t="s">
        <v>289</v>
      </c>
      <c r="BR2" s="298" t="s">
        <v>290</v>
      </c>
      <c r="BS2" s="298" t="s">
        <v>460</v>
      </c>
      <c r="BT2" s="298" t="s">
        <v>291</v>
      </c>
      <c r="BU2" s="298" t="s">
        <v>289</v>
      </c>
      <c r="BV2" s="298" t="s">
        <v>290</v>
      </c>
      <c r="BW2" s="298" t="s">
        <v>460</v>
      </c>
      <c r="BX2" s="298" t="s">
        <v>291</v>
      </c>
      <c r="BY2" s="298" t="s">
        <v>289</v>
      </c>
      <c r="BZ2" s="298" t="s">
        <v>290</v>
      </c>
      <c r="CA2" s="299"/>
    </row>
    <row r="3" spans="1:79" s="306" customFormat="1" ht="42" customHeight="1" x14ac:dyDescent="0.2">
      <c r="A3" s="300" t="s">
        <v>352</v>
      </c>
      <c r="B3" s="301" t="s">
        <v>353</v>
      </c>
      <c r="C3" s="267">
        <v>10500000</v>
      </c>
      <c r="D3" s="267">
        <v>1449600</v>
      </c>
      <c r="E3" s="302">
        <f>E4</f>
        <v>1449600</v>
      </c>
      <c r="F3" s="303">
        <f>K3+AB3+AS3+BJ3</f>
        <v>1449600</v>
      </c>
      <c r="G3" s="303">
        <f>SUM(G4:G4)</f>
        <v>1449558.37</v>
      </c>
      <c r="H3" s="303">
        <f>SUM(H4:H4)</f>
        <v>1449558.3699999999</v>
      </c>
      <c r="I3" s="258">
        <f>SUM(I4:I4)</f>
        <v>2141</v>
      </c>
      <c r="J3" s="258">
        <f>SUM(J4:J4)</f>
        <v>2162</v>
      </c>
      <c r="K3" s="302">
        <v>1449600</v>
      </c>
      <c r="L3" s="303">
        <f>SUM(L4:L4)</f>
        <v>1445490.37</v>
      </c>
      <c r="M3" s="303">
        <f>SUM(M4:M4)</f>
        <v>1442582.72</v>
      </c>
      <c r="N3" s="258">
        <f>SUM(N4:N4)</f>
        <v>2141</v>
      </c>
      <c r="O3" s="258">
        <f>O4</f>
        <v>2159</v>
      </c>
      <c r="P3" s="303">
        <f>P4</f>
        <v>1184682.23</v>
      </c>
      <c r="Q3" s="303">
        <f>Q4</f>
        <v>544218.77</v>
      </c>
      <c r="R3" s="258">
        <f>SUM(R4:R4)</f>
        <v>1806</v>
      </c>
      <c r="S3" s="258">
        <f>S4</f>
        <v>1815</v>
      </c>
      <c r="T3" s="303">
        <f>T4</f>
        <v>165776.51</v>
      </c>
      <c r="U3" s="304">
        <f>U4</f>
        <v>806239.97</v>
      </c>
      <c r="V3" s="258">
        <f>SUM(V4:V4)</f>
        <v>219</v>
      </c>
      <c r="W3" s="258">
        <f>W4</f>
        <v>219</v>
      </c>
      <c r="X3" s="304">
        <f>X4</f>
        <v>95031.63</v>
      </c>
      <c r="Y3" s="304">
        <f>Y4</f>
        <v>92123.98</v>
      </c>
      <c r="Z3" s="258">
        <f>SUM(Z4:Z4)</f>
        <v>125</v>
      </c>
      <c r="AA3" s="258">
        <f>SUM(AA4:AA4)</f>
        <v>125</v>
      </c>
      <c r="AB3" s="302">
        <v>0</v>
      </c>
      <c r="AC3" s="303">
        <f>SUM(AC4:AC4)</f>
        <v>0</v>
      </c>
      <c r="AD3" s="303">
        <f>SUM(AD4:AD4)</f>
        <v>2907.65</v>
      </c>
      <c r="AE3" s="258">
        <f>SUM(AE4:AE4)</f>
        <v>0</v>
      </c>
      <c r="AF3" s="258">
        <f>AF4</f>
        <v>0</v>
      </c>
      <c r="AG3" s="303">
        <f>AG4</f>
        <v>0</v>
      </c>
      <c r="AH3" s="267">
        <f>AH4</f>
        <v>0</v>
      </c>
      <c r="AI3" s="258">
        <f>SUM(AI4:AI4)</f>
        <v>0</v>
      </c>
      <c r="AJ3" s="258">
        <f>SUM(AJ4:AJ4)</f>
        <v>0</v>
      </c>
      <c r="AK3" s="303">
        <f>AK4</f>
        <v>0</v>
      </c>
      <c r="AL3" s="302">
        <f>AL4</f>
        <v>2907.65</v>
      </c>
      <c r="AM3" s="258">
        <f>SUM(AM4:AM4)</f>
        <v>0</v>
      </c>
      <c r="AN3" s="258">
        <f>SUM(AN4:AN4)</f>
        <v>0</v>
      </c>
      <c r="AO3" s="303">
        <f>AO4</f>
        <v>0</v>
      </c>
      <c r="AP3" s="302">
        <f>AP4</f>
        <v>0</v>
      </c>
      <c r="AQ3" s="258">
        <f>SUM(AQ4:AQ4)</f>
        <v>0</v>
      </c>
      <c r="AR3" s="258">
        <f>SUM(AR4:AR4)</f>
        <v>0</v>
      </c>
      <c r="AS3" s="302">
        <v>0</v>
      </c>
      <c r="AT3" s="303">
        <f>SUM(AT4:AT4)</f>
        <v>0</v>
      </c>
      <c r="AU3" s="303">
        <f>SUM(AU4:AU4)</f>
        <v>0</v>
      </c>
      <c r="AV3" s="258">
        <f>SUM(AV4:AV4)</f>
        <v>0</v>
      </c>
      <c r="AW3" s="258">
        <f>AW4</f>
        <v>0</v>
      </c>
      <c r="AX3" s="303">
        <f>AX4</f>
        <v>0</v>
      </c>
      <c r="AY3" s="302">
        <f>AY4</f>
        <v>0</v>
      </c>
      <c r="AZ3" s="258">
        <f>SUM(AZ4:AZ4)</f>
        <v>0</v>
      </c>
      <c r="BA3" s="258">
        <f>SUM(BA4:BA4)</f>
        <v>0</v>
      </c>
      <c r="BB3" s="303">
        <f>BB4</f>
        <v>0</v>
      </c>
      <c r="BC3" s="302">
        <f>BC4</f>
        <v>0</v>
      </c>
      <c r="BD3" s="258">
        <f>SUM(BD4:BD4)</f>
        <v>0</v>
      </c>
      <c r="BE3" s="258">
        <f>SUM(BE4:BE4)</f>
        <v>0</v>
      </c>
      <c r="BF3" s="303">
        <f>BF4</f>
        <v>0</v>
      </c>
      <c r="BG3" s="302">
        <f>BG4</f>
        <v>0</v>
      </c>
      <c r="BH3" s="258">
        <f>SUM(BH4:BH4)</f>
        <v>0</v>
      </c>
      <c r="BI3" s="258">
        <f>SUM(BI4:BI4)</f>
        <v>0</v>
      </c>
      <c r="BJ3" s="302">
        <v>0</v>
      </c>
      <c r="BK3" s="303">
        <f>SUM(BK4:BK4)</f>
        <v>4068</v>
      </c>
      <c r="BL3" s="303">
        <f>SUM(BL4:BL4)</f>
        <v>4068</v>
      </c>
      <c r="BM3" s="258">
        <f>SUM(BM4:BM4)</f>
        <v>3</v>
      </c>
      <c r="BN3" s="258">
        <f>BN4</f>
        <v>3</v>
      </c>
      <c r="BO3" s="302">
        <f>BO4</f>
        <v>0</v>
      </c>
      <c r="BP3" s="302">
        <f>BP4</f>
        <v>0</v>
      </c>
      <c r="BQ3" s="259">
        <f>SUM(BQ4:BQ4)</f>
        <v>0</v>
      </c>
      <c r="BR3" s="259">
        <f>SUM(BR4:BR4)</f>
        <v>0</v>
      </c>
      <c r="BS3" s="302">
        <f>BS4</f>
        <v>0</v>
      </c>
      <c r="BT3" s="302">
        <f>BT4</f>
        <v>0</v>
      </c>
      <c r="BU3" s="259">
        <f>SUM(BU4:BU4)</f>
        <v>0</v>
      </c>
      <c r="BV3" s="259">
        <f>SUM(BV4:BV4)</f>
        <v>0</v>
      </c>
      <c r="BW3" s="302">
        <f>BW4</f>
        <v>4068</v>
      </c>
      <c r="BX3" s="302">
        <f>BX4</f>
        <v>4068</v>
      </c>
      <c r="BY3" s="259">
        <f>SUM(BY4:BY4)</f>
        <v>3</v>
      </c>
      <c r="BZ3" s="259">
        <f>SUM(BZ4:BZ4)</f>
        <v>3</v>
      </c>
      <c r="CA3" s="305"/>
    </row>
    <row r="4" spans="1:79" s="306" customFormat="1" ht="42" customHeight="1" x14ac:dyDescent="0.2">
      <c r="A4" s="307"/>
      <c r="B4" s="260" t="s">
        <v>353</v>
      </c>
      <c r="C4" s="266"/>
      <c r="D4" s="266"/>
      <c r="E4" s="266">
        <v>1449600</v>
      </c>
      <c r="F4" s="308"/>
      <c r="G4" s="308">
        <f>L4+AC4+AT4+BK4</f>
        <v>1449558.37</v>
      </c>
      <c r="H4" s="308">
        <f>M4+AD4+AU4+BL4</f>
        <v>1449558.3699999999</v>
      </c>
      <c r="I4" s="261">
        <v>2141</v>
      </c>
      <c r="J4" s="261">
        <f>O4+AF4+AW4+BN4</f>
        <v>2162</v>
      </c>
      <c r="K4" s="309"/>
      <c r="L4" s="310">
        <f>P4+T4+X4</f>
        <v>1445490.37</v>
      </c>
      <c r="M4" s="310">
        <f>Q4+U4+Y4</f>
        <v>1442582.72</v>
      </c>
      <c r="N4" s="261">
        <v>2141</v>
      </c>
      <c r="O4" s="261">
        <f>S4+W4+AA4</f>
        <v>2159</v>
      </c>
      <c r="P4" s="308">
        <v>1184682.23</v>
      </c>
      <c r="Q4" s="308">
        <v>544218.77</v>
      </c>
      <c r="R4" s="261">
        <v>1806</v>
      </c>
      <c r="S4" s="261">
        <v>1815</v>
      </c>
      <c r="T4" s="308">
        <v>165776.51</v>
      </c>
      <c r="U4" s="308">
        <v>806239.97</v>
      </c>
      <c r="V4" s="261">
        <v>219</v>
      </c>
      <c r="W4" s="261">
        <v>219</v>
      </c>
      <c r="X4" s="308">
        <v>95031.63</v>
      </c>
      <c r="Y4" s="308">
        <v>92123.98</v>
      </c>
      <c r="Z4" s="261">
        <v>125</v>
      </c>
      <c r="AA4" s="261">
        <v>125</v>
      </c>
      <c r="AB4" s="309"/>
      <c r="AC4" s="310">
        <f>AG4+AK4+AO4</f>
        <v>0</v>
      </c>
      <c r="AD4" s="310">
        <f>AH4+AL4+AP4</f>
        <v>2907.65</v>
      </c>
      <c r="AE4" s="261">
        <v>0</v>
      </c>
      <c r="AF4" s="261">
        <f>AJ4+AN4+AR4</f>
        <v>0</v>
      </c>
      <c r="AG4" s="308">
        <v>0</v>
      </c>
      <c r="AH4" s="266"/>
      <c r="AI4" s="261">
        <v>0</v>
      </c>
      <c r="AJ4" s="261">
        <v>0</v>
      </c>
      <c r="AK4" s="308">
        <v>0</v>
      </c>
      <c r="AL4" s="266">
        <v>2907.65</v>
      </c>
      <c r="AM4" s="261">
        <v>0</v>
      </c>
      <c r="AN4" s="261">
        <v>0</v>
      </c>
      <c r="AO4" s="308">
        <v>0</v>
      </c>
      <c r="AP4" s="266"/>
      <c r="AQ4" s="261">
        <v>0</v>
      </c>
      <c r="AR4" s="261">
        <v>0</v>
      </c>
      <c r="AS4" s="309"/>
      <c r="AT4" s="310">
        <f>AX4+BB4+BF4</f>
        <v>0</v>
      </c>
      <c r="AU4" s="310">
        <f>AY4+BC4+BG4</f>
        <v>0</v>
      </c>
      <c r="AV4" s="261">
        <v>0</v>
      </c>
      <c r="AW4" s="261">
        <f>BA4+BE4+BI4</f>
        <v>0</v>
      </c>
      <c r="AX4" s="308">
        <v>0</v>
      </c>
      <c r="AY4" s="266"/>
      <c r="AZ4" s="261">
        <v>0</v>
      </c>
      <c r="BA4" s="261">
        <v>0</v>
      </c>
      <c r="BB4" s="308">
        <v>0</v>
      </c>
      <c r="BC4" s="266"/>
      <c r="BD4" s="261">
        <v>0</v>
      </c>
      <c r="BE4" s="261">
        <v>0</v>
      </c>
      <c r="BF4" s="308">
        <v>0</v>
      </c>
      <c r="BG4" s="266"/>
      <c r="BH4" s="261">
        <v>0</v>
      </c>
      <c r="BI4" s="261">
        <v>0</v>
      </c>
      <c r="BJ4" s="309"/>
      <c r="BK4" s="310">
        <f>BO4+BS4+BW4</f>
        <v>4068</v>
      </c>
      <c r="BL4" s="310">
        <f>BP4+BT4+BX4</f>
        <v>4068</v>
      </c>
      <c r="BM4" s="261">
        <v>3</v>
      </c>
      <c r="BN4" s="261">
        <f>BR4+BV4+BZ4</f>
        <v>3</v>
      </c>
      <c r="BO4" s="266">
        <v>0</v>
      </c>
      <c r="BP4" s="266"/>
      <c r="BQ4" s="262"/>
      <c r="BR4" s="262"/>
      <c r="BS4" s="266">
        <v>0</v>
      </c>
      <c r="BT4" s="266"/>
      <c r="BU4" s="262">
        <v>0</v>
      </c>
      <c r="BV4" s="262">
        <v>0</v>
      </c>
      <c r="BW4" s="266">
        <v>4068</v>
      </c>
      <c r="BX4" s="266">
        <v>4068</v>
      </c>
      <c r="BY4" s="262">
        <v>3</v>
      </c>
      <c r="BZ4" s="262">
        <v>3</v>
      </c>
      <c r="CA4" s="305"/>
    </row>
    <row r="5" spans="1:79" s="306" customFormat="1" ht="42" customHeight="1" x14ac:dyDescent="0.2">
      <c r="A5" s="300" t="s">
        <v>354</v>
      </c>
      <c r="B5" s="301" t="s">
        <v>355</v>
      </c>
      <c r="C5" s="267">
        <v>12290000</v>
      </c>
      <c r="D5" s="267">
        <v>11203900</v>
      </c>
      <c r="E5" s="267">
        <f>SUM(E6:E8)</f>
        <v>11203900</v>
      </c>
      <c r="F5" s="303">
        <f>K5+AB5+AS5+BJ5</f>
        <v>11203900</v>
      </c>
      <c r="G5" s="304">
        <f>SUM(G6:G8)</f>
        <v>11203823.609999999</v>
      </c>
      <c r="H5" s="304">
        <f>SUM(H6:H8)</f>
        <v>11203823.609999999</v>
      </c>
      <c r="I5" s="263">
        <f>SUM(I6:I8)</f>
        <v>26263</v>
      </c>
      <c r="J5" s="263">
        <f>SUM(J6:J8)</f>
        <v>135488</v>
      </c>
      <c r="K5" s="267">
        <v>3050000</v>
      </c>
      <c r="L5" s="304">
        <f t="shared" ref="L5:AA5" si="0">SUM(L6:L8)</f>
        <v>2704504.08</v>
      </c>
      <c r="M5" s="304">
        <f t="shared" si="0"/>
        <v>2704504.08</v>
      </c>
      <c r="N5" s="263">
        <f t="shared" si="0"/>
        <v>8390</v>
      </c>
      <c r="O5" s="263">
        <f t="shared" si="0"/>
        <v>33366</v>
      </c>
      <c r="P5" s="304">
        <f t="shared" si="0"/>
        <v>849552.08000000007</v>
      </c>
      <c r="Q5" s="304">
        <f t="shared" si="0"/>
        <v>811453.74</v>
      </c>
      <c r="R5" s="263">
        <f t="shared" si="0"/>
        <v>3719</v>
      </c>
      <c r="S5" s="263">
        <f t="shared" si="0"/>
        <v>10905</v>
      </c>
      <c r="T5" s="304">
        <f t="shared" si="0"/>
        <v>924928.88</v>
      </c>
      <c r="U5" s="304">
        <f t="shared" si="0"/>
        <v>927593.57000000007</v>
      </c>
      <c r="V5" s="263">
        <f t="shared" si="0"/>
        <v>4015</v>
      </c>
      <c r="W5" s="263">
        <f t="shared" si="0"/>
        <v>11321</v>
      </c>
      <c r="X5" s="304">
        <f t="shared" si="0"/>
        <v>930023.12</v>
      </c>
      <c r="Y5" s="304">
        <f t="shared" si="0"/>
        <v>965456.77</v>
      </c>
      <c r="Z5" s="263">
        <f t="shared" si="0"/>
        <v>4014</v>
      </c>
      <c r="AA5" s="263">
        <f t="shared" si="0"/>
        <v>11140</v>
      </c>
      <c r="AB5" s="267">
        <v>3220000</v>
      </c>
      <c r="AC5" s="304">
        <f t="shared" ref="AC5:AN5" si="1">SUM(AC6:AC8)</f>
        <v>3072509.92</v>
      </c>
      <c r="AD5" s="304">
        <f t="shared" si="1"/>
        <v>3061098.74</v>
      </c>
      <c r="AE5" s="263">
        <f t="shared" si="1"/>
        <v>9259</v>
      </c>
      <c r="AF5" s="263">
        <f t="shared" si="1"/>
        <v>37325</v>
      </c>
      <c r="AG5" s="304">
        <f t="shared" si="1"/>
        <v>1066619.74</v>
      </c>
      <c r="AH5" s="267">
        <f t="shared" si="1"/>
        <v>1015379.66</v>
      </c>
      <c r="AI5" s="263">
        <f t="shared" si="1"/>
        <v>4537</v>
      </c>
      <c r="AJ5" s="263">
        <f t="shared" si="1"/>
        <v>12854</v>
      </c>
      <c r="AK5" s="304">
        <f t="shared" si="1"/>
        <v>976842.04999999993</v>
      </c>
      <c r="AL5" s="265">
        <f t="shared" si="1"/>
        <v>1006380.8999999999</v>
      </c>
      <c r="AM5" s="263">
        <f t="shared" si="1"/>
        <v>4082</v>
      </c>
      <c r="AN5" s="263">
        <f t="shared" si="1"/>
        <v>11995</v>
      </c>
      <c r="AO5" s="304">
        <f>SUM(AO6:AO8)</f>
        <v>1029048.13</v>
      </c>
      <c r="AP5" s="265">
        <f>SUM(AP6:AP8)</f>
        <v>1039338.18</v>
      </c>
      <c r="AQ5" s="263">
        <f>SUM(AQ6:AQ8)</f>
        <v>4141</v>
      </c>
      <c r="AR5" s="263">
        <f>SUM(AR6:AR8)</f>
        <v>12476</v>
      </c>
      <c r="AS5" s="267">
        <v>3085000</v>
      </c>
      <c r="AT5" s="304">
        <f t="shared" ref="AT5:BZ5" si="2">SUM(AT6:AT8)</f>
        <v>2792477.4</v>
      </c>
      <c r="AU5" s="304">
        <f t="shared" si="2"/>
        <v>2783393.6199999996</v>
      </c>
      <c r="AV5" s="263">
        <f t="shared" si="2"/>
        <v>7655</v>
      </c>
      <c r="AW5" s="263">
        <f>SUM(AW6:AW8)</f>
        <v>33466</v>
      </c>
      <c r="AX5" s="304">
        <f t="shared" si="2"/>
        <v>998153.58</v>
      </c>
      <c r="AY5" s="265">
        <f t="shared" si="2"/>
        <v>983395.99</v>
      </c>
      <c r="AZ5" s="263">
        <f t="shared" si="2"/>
        <v>3887</v>
      </c>
      <c r="BA5" s="263">
        <f t="shared" si="2"/>
        <v>11848</v>
      </c>
      <c r="BB5" s="304">
        <f t="shared" si="2"/>
        <v>896277.63</v>
      </c>
      <c r="BC5" s="265">
        <f t="shared" si="2"/>
        <v>922446.4</v>
      </c>
      <c r="BD5" s="263">
        <f t="shared" si="2"/>
        <v>3612</v>
      </c>
      <c r="BE5" s="263">
        <f t="shared" si="2"/>
        <v>10955</v>
      </c>
      <c r="BF5" s="304">
        <f t="shared" si="2"/>
        <v>898046.19</v>
      </c>
      <c r="BG5" s="265">
        <f t="shared" si="2"/>
        <v>877551.23</v>
      </c>
      <c r="BH5" s="263">
        <f t="shared" si="2"/>
        <v>3611</v>
      </c>
      <c r="BI5" s="263">
        <f t="shared" si="2"/>
        <v>10663</v>
      </c>
      <c r="BJ5" s="267">
        <v>1848900</v>
      </c>
      <c r="BK5" s="304">
        <f>SUM(BK6:BK8)</f>
        <v>2634332.21</v>
      </c>
      <c r="BL5" s="304">
        <f>SUM(BL6:BL8)</f>
        <v>2654827.17</v>
      </c>
      <c r="BM5" s="263">
        <f>SUM(BM6:BM8)</f>
        <v>7618</v>
      </c>
      <c r="BN5" s="263">
        <f>SUM(BN6:BN8)</f>
        <v>31331</v>
      </c>
      <c r="BO5" s="267">
        <f t="shared" si="2"/>
        <v>854303.19000000006</v>
      </c>
      <c r="BP5" s="265">
        <f t="shared" si="2"/>
        <v>851519.38</v>
      </c>
      <c r="BQ5" s="264">
        <f t="shared" si="2"/>
        <v>3487</v>
      </c>
      <c r="BR5" s="264">
        <f t="shared" si="2"/>
        <v>10374</v>
      </c>
      <c r="BS5" s="267">
        <f t="shared" si="2"/>
        <v>893150.28</v>
      </c>
      <c r="BT5" s="265">
        <f t="shared" si="2"/>
        <v>916429.05</v>
      </c>
      <c r="BU5" s="264">
        <f>SUM(BU6:BU8)</f>
        <v>3773</v>
      </c>
      <c r="BV5" s="264">
        <f>SUM(BV6:BV8)</f>
        <v>10658</v>
      </c>
      <c r="BW5" s="267">
        <f t="shared" si="2"/>
        <v>886878.74</v>
      </c>
      <c r="BX5" s="265">
        <f t="shared" si="2"/>
        <v>886878.74</v>
      </c>
      <c r="BY5" s="264">
        <f t="shared" si="2"/>
        <v>3587</v>
      </c>
      <c r="BZ5" s="264">
        <f t="shared" si="2"/>
        <v>10299</v>
      </c>
      <c r="CA5" s="305"/>
    </row>
    <row r="6" spans="1:79" s="313" customFormat="1" ht="80.25" customHeight="1" x14ac:dyDescent="0.25">
      <c r="A6" s="311"/>
      <c r="B6" s="312" t="s">
        <v>462</v>
      </c>
      <c r="C6" s="266"/>
      <c r="D6" s="266"/>
      <c r="E6" s="266">
        <v>2532200</v>
      </c>
      <c r="F6" s="308"/>
      <c r="G6" s="308">
        <f t="shared" ref="G6:H8" si="3">L6+AC6+AT6+BK6</f>
        <v>2532182.4299999997</v>
      </c>
      <c r="H6" s="308">
        <f t="shared" si="3"/>
        <v>2532182.4299999997</v>
      </c>
      <c r="I6" s="261">
        <v>24165</v>
      </c>
      <c r="J6" s="261">
        <f>O6+AF6+AW6+BN6</f>
        <v>42702</v>
      </c>
      <c r="K6" s="309"/>
      <c r="L6" s="310">
        <f>P6+T6+X6</f>
        <v>643791.9</v>
      </c>
      <c r="M6" s="310">
        <f t="shared" ref="L6:M8" si="4">Q6+U6+Y6</f>
        <v>643791.9</v>
      </c>
      <c r="N6" s="261">
        <v>7666</v>
      </c>
      <c r="O6" s="261">
        <f>S6+W6+AA6</f>
        <v>10880</v>
      </c>
      <c r="P6" s="308">
        <v>202105.54</v>
      </c>
      <c r="Q6" s="308">
        <v>164007.20000000001</v>
      </c>
      <c r="R6" s="261">
        <v>3331</v>
      </c>
      <c r="S6" s="261">
        <v>3476</v>
      </c>
      <c r="T6" s="308">
        <v>222497.74</v>
      </c>
      <c r="U6" s="308">
        <v>225162.43</v>
      </c>
      <c r="V6" s="261">
        <v>3607</v>
      </c>
      <c r="W6" s="261">
        <v>3730</v>
      </c>
      <c r="X6" s="308">
        <v>219188.62</v>
      </c>
      <c r="Y6" s="308">
        <v>254622.27</v>
      </c>
      <c r="Z6" s="261">
        <v>3584</v>
      </c>
      <c r="AA6" s="261">
        <v>3674</v>
      </c>
      <c r="AB6" s="309"/>
      <c r="AC6" s="310">
        <f t="shared" ref="AC6:AD8" si="5">AG6+AK6+AO6</f>
        <v>684488.17</v>
      </c>
      <c r="AD6" s="310">
        <f t="shared" si="5"/>
        <v>673076.99</v>
      </c>
      <c r="AE6" s="261">
        <v>8448</v>
      </c>
      <c r="AF6" s="261">
        <f>AJ6+AN6+AR6</f>
        <v>11737</v>
      </c>
      <c r="AG6" s="308">
        <v>238391.84000000005</v>
      </c>
      <c r="AH6" s="266">
        <v>187151.76</v>
      </c>
      <c r="AI6" s="261">
        <v>4085</v>
      </c>
      <c r="AJ6" s="261">
        <v>4189</v>
      </c>
      <c r="AK6" s="308">
        <v>221385.35</v>
      </c>
      <c r="AL6" s="266">
        <v>250924.2</v>
      </c>
      <c r="AM6" s="261">
        <v>3630</v>
      </c>
      <c r="AN6" s="261">
        <v>3758</v>
      </c>
      <c r="AO6" s="308">
        <v>224710.98</v>
      </c>
      <c r="AP6" s="266">
        <v>235001.03</v>
      </c>
      <c r="AQ6" s="261">
        <v>3688</v>
      </c>
      <c r="AR6" s="261">
        <v>3790</v>
      </c>
      <c r="AS6" s="309"/>
      <c r="AT6" s="310">
        <f>AX6+BB6+BF6</f>
        <v>608898.39</v>
      </c>
      <c r="AU6" s="310">
        <f t="shared" ref="AT6:AU8" si="6">AY6+BC6+BG6</f>
        <v>599814.61</v>
      </c>
      <c r="AV6" s="261">
        <v>6907</v>
      </c>
      <c r="AW6" s="261">
        <f>BA6+BE6+BI6</f>
        <v>10191</v>
      </c>
      <c r="AX6" s="308">
        <v>211852.21</v>
      </c>
      <c r="AY6" s="266">
        <v>197094.62</v>
      </c>
      <c r="AZ6" s="261">
        <v>3434</v>
      </c>
      <c r="BA6" s="261">
        <v>3574</v>
      </c>
      <c r="BB6" s="308">
        <v>199218.48</v>
      </c>
      <c r="BC6" s="266">
        <v>225387.25</v>
      </c>
      <c r="BD6" s="261">
        <v>3207</v>
      </c>
      <c r="BE6" s="261">
        <v>3314</v>
      </c>
      <c r="BF6" s="308">
        <v>197827.7</v>
      </c>
      <c r="BG6" s="266">
        <v>177332.74</v>
      </c>
      <c r="BH6" s="261">
        <v>3215</v>
      </c>
      <c r="BI6" s="261">
        <v>3303</v>
      </c>
      <c r="BJ6" s="309"/>
      <c r="BK6" s="310">
        <f t="shared" ref="BK6:BL8" si="7">BO6+BS6+BW6</f>
        <v>595003.97</v>
      </c>
      <c r="BL6" s="310">
        <f t="shared" si="7"/>
        <v>615498.92999999993</v>
      </c>
      <c r="BM6" s="261">
        <v>6930</v>
      </c>
      <c r="BN6" s="261">
        <f>BR6+BV6+BZ6</f>
        <v>9894</v>
      </c>
      <c r="BO6" s="266">
        <v>192613.54</v>
      </c>
      <c r="BP6" s="266">
        <v>189829.73</v>
      </c>
      <c r="BQ6" s="262">
        <v>3119</v>
      </c>
      <c r="BR6" s="262">
        <v>3195</v>
      </c>
      <c r="BS6" s="266">
        <v>206330.22</v>
      </c>
      <c r="BT6" s="266">
        <v>229608.99</v>
      </c>
      <c r="BU6" s="262">
        <v>3379</v>
      </c>
      <c r="BV6" s="262">
        <v>3450</v>
      </c>
      <c r="BW6" s="266">
        <v>196060.21</v>
      </c>
      <c r="BX6" s="266">
        <v>196060.21</v>
      </c>
      <c r="BY6" s="262">
        <v>3207</v>
      </c>
      <c r="BZ6" s="262">
        <v>3249</v>
      </c>
      <c r="CA6" s="305"/>
    </row>
    <row r="7" spans="1:79" s="313" customFormat="1" ht="42" customHeight="1" x14ac:dyDescent="0.25">
      <c r="A7" s="311"/>
      <c r="B7" s="314" t="s">
        <v>356</v>
      </c>
      <c r="C7" s="266"/>
      <c r="D7" s="266"/>
      <c r="E7" s="266">
        <v>8671700</v>
      </c>
      <c r="F7" s="308"/>
      <c r="G7" s="308">
        <f t="shared" si="3"/>
        <v>8671641.1799999997</v>
      </c>
      <c r="H7" s="308">
        <f t="shared" si="3"/>
        <v>8671641.1799999997</v>
      </c>
      <c r="I7" s="261">
        <v>2098</v>
      </c>
      <c r="J7" s="261">
        <f>O7+AF7+AW7+BN7</f>
        <v>92786</v>
      </c>
      <c r="K7" s="309"/>
      <c r="L7" s="310">
        <f t="shared" si="4"/>
        <v>2060712.1800000002</v>
      </c>
      <c r="M7" s="310">
        <f t="shared" si="4"/>
        <v>2060712.1800000002</v>
      </c>
      <c r="N7" s="261">
        <v>724</v>
      </c>
      <c r="O7" s="261">
        <f>S7+W7+AA7</f>
        <v>22486</v>
      </c>
      <c r="P7" s="308">
        <v>647446.54</v>
      </c>
      <c r="Q7" s="308">
        <v>647446.54</v>
      </c>
      <c r="R7" s="261">
        <v>388</v>
      </c>
      <c r="S7" s="261">
        <v>7429</v>
      </c>
      <c r="T7" s="308">
        <v>702431.14</v>
      </c>
      <c r="U7" s="308">
        <v>702431.14</v>
      </c>
      <c r="V7" s="261">
        <v>408</v>
      </c>
      <c r="W7" s="261">
        <v>7591</v>
      </c>
      <c r="X7" s="308">
        <v>710834.5</v>
      </c>
      <c r="Y7" s="308">
        <v>710834.5</v>
      </c>
      <c r="Z7" s="261">
        <v>430</v>
      </c>
      <c r="AA7" s="261">
        <v>7466</v>
      </c>
      <c r="AB7" s="309"/>
      <c r="AC7" s="310">
        <f t="shared" si="5"/>
        <v>2388021.75</v>
      </c>
      <c r="AD7" s="310">
        <f t="shared" si="5"/>
        <v>2388021.75</v>
      </c>
      <c r="AE7" s="261">
        <v>811</v>
      </c>
      <c r="AF7" s="261">
        <f>AJ7+AN7+AR7</f>
        <v>25588</v>
      </c>
      <c r="AG7" s="308">
        <v>828227.89999999991</v>
      </c>
      <c r="AH7" s="266">
        <v>828227.9</v>
      </c>
      <c r="AI7" s="261">
        <v>452</v>
      </c>
      <c r="AJ7" s="261">
        <v>8665</v>
      </c>
      <c r="AK7" s="308">
        <v>755456.7</v>
      </c>
      <c r="AL7" s="266">
        <v>755456.7</v>
      </c>
      <c r="AM7" s="261">
        <v>452</v>
      </c>
      <c r="AN7" s="261">
        <v>8237</v>
      </c>
      <c r="AO7" s="308">
        <v>804337.15</v>
      </c>
      <c r="AP7" s="266">
        <v>804337.15</v>
      </c>
      <c r="AQ7" s="261">
        <v>453</v>
      </c>
      <c r="AR7" s="261">
        <v>8686</v>
      </c>
      <c r="AS7" s="309"/>
      <c r="AT7" s="310">
        <f t="shared" si="6"/>
        <v>2183579.0099999998</v>
      </c>
      <c r="AU7" s="310">
        <f t="shared" si="6"/>
        <v>2183579.0099999998</v>
      </c>
      <c r="AV7" s="261">
        <v>748</v>
      </c>
      <c r="AW7" s="261">
        <f>BA7+BE7+BI7</f>
        <v>23275</v>
      </c>
      <c r="AX7" s="308">
        <v>786301.37</v>
      </c>
      <c r="AY7" s="266">
        <v>786301.37</v>
      </c>
      <c r="AZ7" s="261">
        <v>453</v>
      </c>
      <c r="BA7" s="261">
        <v>8274</v>
      </c>
      <c r="BB7" s="308">
        <v>697059.15</v>
      </c>
      <c r="BC7" s="266">
        <v>697059.15</v>
      </c>
      <c r="BD7" s="261">
        <v>405</v>
      </c>
      <c r="BE7" s="261">
        <v>7641</v>
      </c>
      <c r="BF7" s="308">
        <v>700218.49</v>
      </c>
      <c r="BG7" s="266">
        <v>700218.49</v>
      </c>
      <c r="BH7" s="261">
        <v>396</v>
      </c>
      <c r="BI7" s="261">
        <v>7360</v>
      </c>
      <c r="BJ7" s="309"/>
      <c r="BK7" s="310">
        <f t="shared" si="7"/>
        <v>2039328.24</v>
      </c>
      <c r="BL7" s="310">
        <f t="shared" si="7"/>
        <v>2039328.24</v>
      </c>
      <c r="BM7" s="261">
        <v>688</v>
      </c>
      <c r="BN7" s="261">
        <f>BR7+BV7+BZ7</f>
        <v>21437</v>
      </c>
      <c r="BO7" s="266">
        <v>661689.65</v>
      </c>
      <c r="BP7" s="266">
        <v>661689.65</v>
      </c>
      <c r="BQ7" s="262">
        <v>368</v>
      </c>
      <c r="BR7" s="262">
        <v>7179</v>
      </c>
      <c r="BS7" s="266">
        <v>686820.06</v>
      </c>
      <c r="BT7" s="266">
        <v>686820.06</v>
      </c>
      <c r="BU7" s="262">
        <v>394</v>
      </c>
      <c r="BV7" s="262">
        <v>7208</v>
      </c>
      <c r="BW7" s="266">
        <v>690818.53</v>
      </c>
      <c r="BX7" s="266">
        <v>690818.53</v>
      </c>
      <c r="BY7" s="262">
        <v>380</v>
      </c>
      <c r="BZ7" s="262">
        <v>7050</v>
      </c>
      <c r="CA7" s="305"/>
    </row>
    <row r="8" spans="1:79" s="313" customFormat="1" ht="65.25" customHeight="1" x14ac:dyDescent="0.25">
      <c r="A8" s="311"/>
      <c r="B8" s="312" t="s">
        <v>357</v>
      </c>
      <c r="C8" s="266"/>
      <c r="D8" s="266"/>
      <c r="E8" s="266">
        <v>0</v>
      </c>
      <c r="F8" s="308"/>
      <c r="G8" s="308">
        <f t="shared" si="3"/>
        <v>0</v>
      </c>
      <c r="H8" s="308">
        <f t="shared" si="3"/>
        <v>0</v>
      </c>
      <c r="I8" s="261">
        <v>0</v>
      </c>
      <c r="J8" s="261">
        <f>O8+AF8+AW8+BN8</f>
        <v>0</v>
      </c>
      <c r="K8" s="309"/>
      <c r="L8" s="310">
        <f t="shared" si="4"/>
        <v>0</v>
      </c>
      <c r="M8" s="310">
        <f t="shared" si="4"/>
        <v>0</v>
      </c>
      <c r="N8" s="261"/>
      <c r="O8" s="261">
        <f>S8+W8+AA8</f>
        <v>0</v>
      </c>
      <c r="P8" s="308">
        <v>0</v>
      </c>
      <c r="Q8" s="308"/>
      <c r="R8" s="261">
        <v>0</v>
      </c>
      <c r="S8" s="261"/>
      <c r="T8" s="308">
        <v>0</v>
      </c>
      <c r="U8" s="308"/>
      <c r="V8" s="261">
        <v>0</v>
      </c>
      <c r="W8" s="261">
        <v>0</v>
      </c>
      <c r="X8" s="308">
        <v>0</v>
      </c>
      <c r="Y8" s="308"/>
      <c r="Z8" s="261">
        <v>0</v>
      </c>
      <c r="AA8" s="261">
        <v>0</v>
      </c>
      <c r="AB8" s="309"/>
      <c r="AC8" s="310">
        <f t="shared" si="5"/>
        <v>0</v>
      </c>
      <c r="AD8" s="310">
        <f t="shared" si="5"/>
        <v>0</v>
      </c>
      <c r="AE8" s="261">
        <v>0</v>
      </c>
      <c r="AF8" s="261">
        <f>AJ8+AN8+AR8</f>
        <v>0</v>
      </c>
      <c r="AG8" s="308">
        <v>0</v>
      </c>
      <c r="AH8" s="266"/>
      <c r="AI8" s="261">
        <v>0</v>
      </c>
      <c r="AJ8" s="261">
        <v>0</v>
      </c>
      <c r="AK8" s="308">
        <v>0</v>
      </c>
      <c r="AL8" s="266"/>
      <c r="AM8" s="261"/>
      <c r="AN8" s="261"/>
      <c r="AO8" s="308">
        <v>0</v>
      </c>
      <c r="AP8" s="266"/>
      <c r="AQ8" s="261"/>
      <c r="AR8" s="261"/>
      <c r="AS8" s="309"/>
      <c r="AT8" s="310">
        <f t="shared" si="6"/>
        <v>0</v>
      </c>
      <c r="AU8" s="310">
        <f t="shared" si="6"/>
        <v>0</v>
      </c>
      <c r="AV8" s="261">
        <v>0</v>
      </c>
      <c r="AW8" s="261">
        <f>BA8+BE8+BI8</f>
        <v>0</v>
      </c>
      <c r="AX8" s="308">
        <v>0</v>
      </c>
      <c r="AY8" s="266"/>
      <c r="AZ8" s="261"/>
      <c r="BA8" s="261"/>
      <c r="BB8" s="308">
        <v>0</v>
      </c>
      <c r="BC8" s="266"/>
      <c r="BD8" s="261"/>
      <c r="BE8" s="261"/>
      <c r="BF8" s="308">
        <v>0</v>
      </c>
      <c r="BG8" s="266"/>
      <c r="BH8" s="261"/>
      <c r="BI8" s="261"/>
      <c r="BJ8" s="309"/>
      <c r="BK8" s="310">
        <f t="shared" si="7"/>
        <v>0</v>
      </c>
      <c r="BL8" s="310">
        <f t="shared" si="7"/>
        <v>0</v>
      </c>
      <c r="BM8" s="261">
        <v>0</v>
      </c>
      <c r="BN8" s="261">
        <f>BR8+BV8+BZ8</f>
        <v>0</v>
      </c>
      <c r="BO8" s="266">
        <v>0</v>
      </c>
      <c r="BP8" s="266"/>
      <c r="BQ8" s="262"/>
      <c r="BR8" s="262"/>
      <c r="BS8" s="266"/>
      <c r="BT8" s="266"/>
      <c r="BU8" s="262"/>
      <c r="BV8" s="262"/>
      <c r="BW8" s="266">
        <v>0</v>
      </c>
      <c r="BX8" s="266"/>
      <c r="BY8" s="262"/>
      <c r="BZ8" s="262"/>
      <c r="CA8" s="305"/>
    </row>
    <row r="9" spans="1:79" s="306" customFormat="1" ht="42" customHeight="1" x14ac:dyDescent="0.2">
      <c r="A9" s="300" t="s">
        <v>358</v>
      </c>
      <c r="B9" s="301" t="s">
        <v>359</v>
      </c>
      <c r="C9" s="267">
        <v>6000000</v>
      </c>
      <c r="D9" s="267">
        <v>5823900</v>
      </c>
      <c r="E9" s="267">
        <f>SUM(E10:E11)</f>
        <v>5823900</v>
      </c>
      <c r="F9" s="303">
        <f>K9+AB9+AS9+BJ9</f>
        <v>5823900</v>
      </c>
      <c r="G9" s="304">
        <f>SUM(G10:G11)</f>
        <v>5823844.3599999994</v>
      </c>
      <c r="H9" s="304">
        <f>SUM(H10:H11)</f>
        <v>5823844.3599999994</v>
      </c>
      <c r="I9" s="258">
        <f>SUM(I10:I11)</f>
        <v>5131</v>
      </c>
      <c r="J9" s="258">
        <f>SUM(J10:J11)</f>
        <v>56586</v>
      </c>
      <c r="K9" s="267">
        <v>1440000</v>
      </c>
      <c r="L9" s="304">
        <f t="shared" ref="L9:AA9" si="8">SUM(L10:L11)</f>
        <v>1083363.6200000001</v>
      </c>
      <c r="M9" s="304">
        <f t="shared" si="8"/>
        <v>1083363.6199999999</v>
      </c>
      <c r="N9" s="258">
        <f t="shared" si="8"/>
        <v>3791</v>
      </c>
      <c r="O9" s="258">
        <f t="shared" si="8"/>
        <v>10461</v>
      </c>
      <c r="P9" s="304">
        <f t="shared" si="8"/>
        <v>213678.36</v>
      </c>
      <c r="Q9" s="304">
        <f t="shared" si="8"/>
        <v>191175.27</v>
      </c>
      <c r="R9" s="258">
        <f t="shared" si="8"/>
        <v>908</v>
      </c>
      <c r="S9" s="258">
        <f t="shared" si="8"/>
        <v>1291</v>
      </c>
      <c r="T9" s="304">
        <f t="shared" si="8"/>
        <v>427277.02</v>
      </c>
      <c r="U9" s="304">
        <f t="shared" si="8"/>
        <v>217864.69999999998</v>
      </c>
      <c r="V9" s="258">
        <f t="shared" si="8"/>
        <v>3279</v>
      </c>
      <c r="W9" s="258">
        <f t="shared" si="8"/>
        <v>4692</v>
      </c>
      <c r="X9" s="304">
        <f t="shared" si="8"/>
        <v>442408.24</v>
      </c>
      <c r="Y9" s="304">
        <f t="shared" si="8"/>
        <v>674323.65</v>
      </c>
      <c r="Z9" s="258">
        <f t="shared" si="8"/>
        <v>3267</v>
      </c>
      <c r="AA9" s="258">
        <f t="shared" si="8"/>
        <v>4478</v>
      </c>
      <c r="AB9" s="267">
        <v>1520000</v>
      </c>
      <c r="AC9" s="304">
        <f t="shared" ref="AC9:AR9" si="9">SUM(AC10:AC11)</f>
        <v>1435854.22</v>
      </c>
      <c r="AD9" s="304">
        <f t="shared" si="9"/>
        <v>1435854.22</v>
      </c>
      <c r="AE9" s="258">
        <f t="shared" si="9"/>
        <v>3977</v>
      </c>
      <c r="AF9" s="258">
        <f t="shared" si="9"/>
        <v>13783</v>
      </c>
      <c r="AG9" s="304">
        <f t="shared" si="9"/>
        <v>492732.47</v>
      </c>
      <c r="AH9" s="267">
        <f t="shared" si="9"/>
        <v>492732.47</v>
      </c>
      <c r="AI9" s="258">
        <f t="shared" si="9"/>
        <v>3162</v>
      </c>
      <c r="AJ9" s="258">
        <f t="shared" si="9"/>
        <v>4470</v>
      </c>
      <c r="AK9" s="304">
        <f t="shared" si="9"/>
        <v>490019.02</v>
      </c>
      <c r="AL9" s="267">
        <f t="shared" si="9"/>
        <v>490019.02</v>
      </c>
      <c r="AM9" s="258">
        <f t="shared" si="9"/>
        <v>3325</v>
      </c>
      <c r="AN9" s="258">
        <f t="shared" si="9"/>
        <v>4662</v>
      </c>
      <c r="AO9" s="304">
        <f t="shared" si="9"/>
        <v>453102.73</v>
      </c>
      <c r="AP9" s="267">
        <f t="shared" si="9"/>
        <v>453102.73</v>
      </c>
      <c r="AQ9" s="258">
        <f t="shared" si="9"/>
        <v>3307</v>
      </c>
      <c r="AR9" s="258">
        <f t="shared" si="9"/>
        <v>4651</v>
      </c>
      <c r="AS9" s="267">
        <v>1490000</v>
      </c>
      <c r="AT9" s="304">
        <f t="shared" ref="AT9:BZ9" si="10">SUM(AT10:AT11)</f>
        <v>1514062.52</v>
      </c>
      <c r="AU9" s="304">
        <f t="shared" si="10"/>
        <v>1493587.69</v>
      </c>
      <c r="AV9" s="258">
        <f t="shared" si="10"/>
        <v>4071</v>
      </c>
      <c r="AW9" s="258">
        <f t="shared" si="10"/>
        <v>14108</v>
      </c>
      <c r="AX9" s="304">
        <f t="shared" si="10"/>
        <v>604443.34</v>
      </c>
      <c r="AY9" s="267">
        <f t="shared" si="10"/>
        <v>317077.69</v>
      </c>
      <c r="AZ9" s="258">
        <f t="shared" si="10"/>
        <v>3416</v>
      </c>
      <c r="BA9" s="258">
        <f t="shared" si="10"/>
        <v>4824</v>
      </c>
      <c r="BB9" s="304">
        <f t="shared" si="10"/>
        <v>457333.44</v>
      </c>
      <c r="BC9" s="267">
        <f t="shared" si="10"/>
        <v>744699.09</v>
      </c>
      <c r="BD9" s="258">
        <f t="shared" si="10"/>
        <v>3331</v>
      </c>
      <c r="BE9" s="258">
        <f t="shared" si="10"/>
        <v>4540</v>
      </c>
      <c r="BF9" s="304">
        <f t="shared" si="10"/>
        <v>452285.74</v>
      </c>
      <c r="BG9" s="267">
        <f t="shared" si="10"/>
        <v>431810.91000000003</v>
      </c>
      <c r="BH9" s="258">
        <f t="shared" si="10"/>
        <v>3367</v>
      </c>
      <c r="BI9" s="258">
        <f t="shared" si="10"/>
        <v>4744</v>
      </c>
      <c r="BJ9" s="267">
        <v>1373900</v>
      </c>
      <c r="BK9" s="304">
        <f t="shared" si="10"/>
        <v>1790564</v>
      </c>
      <c r="BL9" s="304">
        <f t="shared" si="10"/>
        <v>1811038.83</v>
      </c>
      <c r="BM9" s="258">
        <f>SUM(BM10:BM11)</f>
        <v>4323</v>
      </c>
      <c r="BN9" s="258">
        <f>SUM(BN10:BN11)</f>
        <v>18234</v>
      </c>
      <c r="BO9" s="267">
        <f t="shared" si="10"/>
        <v>681205.67</v>
      </c>
      <c r="BP9" s="267">
        <f t="shared" si="10"/>
        <v>525827.26</v>
      </c>
      <c r="BQ9" s="259">
        <f t="shared" si="10"/>
        <v>3754</v>
      </c>
      <c r="BR9" s="259">
        <f t="shared" si="10"/>
        <v>8071</v>
      </c>
      <c r="BS9" s="267">
        <f t="shared" si="10"/>
        <v>331086.08999999997</v>
      </c>
      <c r="BT9" s="267">
        <f t="shared" si="10"/>
        <v>506939.33</v>
      </c>
      <c r="BU9" s="259">
        <f>SUM(BU10:BU11)</f>
        <v>1039</v>
      </c>
      <c r="BV9" s="259">
        <f>SUM(BV10:BV11)</f>
        <v>1390</v>
      </c>
      <c r="BW9" s="267">
        <f t="shared" si="10"/>
        <v>778272.24</v>
      </c>
      <c r="BX9" s="267">
        <f t="shared" si="10"/>
        <v>778272.24</v>
      </c>
      <c r="BY9" s="259">
        <f t="shared" si="10"/>
        <v>3872</v>
      </c>
      <c r="BZ9" s="259">
        <f t="shared" si="10"/>
        <v>8773</v>
      </c>
      <c r="CA9" s="305"/>
    </row>
    <row r="10" spans="1:79" s="313" customFormat="1" ht="42" customHeight="1" x14ac:dyDescent="0.25">
      <c r="A10" s="311"/>
      <c r="B10" s="268" t="s">
        <v>463</v>
      </c>
      <c r="C10" s="266"/>
      <c r="D10" s="266"/>
      <c r="E10" s="266">
        <v>3144300</v>
      </c>
      <c r="F10" s="308"/>
      <c r="G10" s="308">
        <f>L10+AC10+AT10+BK10</f>
        <v>3144298.38</v>
      </c>
      <c r="H10" s="308">
        <f>M10+AD10+AU10+BL10</f>
        <v>3144298.38</v>
      </c>
      <c r="I10" s="261">
        <v>4561</v>
      </c>
      <c r="J10" s="261">
        <f>O10+AF10+AW10+BN10</f>
        <v>55755</v>
      </c>
      <c r="K10" s="309"/>
      <c r="L10" s="310">
        <f>P10+T10+X10</f>
        <v>571258.18999999994</v>
      </c>
      <c r="M10" s="310">
        <f>Q10+U10+Y10</f>
        <v>571258.18999999994</v>
      </c>
      <c r="N10" s="261">
        <v>3635</v>
      </c>
      <c r="O10" s="261">
        <f>S10+W10+AA10</f>
        <v>10293</v>
      </c>
      <c r="P10" s="308">
        <v>97385.98</v>
      </c>
      <c r="Q10" s="308">
        <v>97385.98</v>
      </c>
      <c r="R10" s="261">
        <v>875</v>
      </c>
      <c r="S10" s="261">
        <v>1258</v>
      </c>
      <c r="T10" s="308">
        <v>237754.11</v>
      </c>
      <c r="U10" s="308">
        <v>83481.679999999993</v>
      </c>
      <c r="V10" s="261">
        <v>3212</v>
      </c>
      <c r="W10" s="261">
        <v>4625</v>
      </c>
      <c r="X10" s="308">
        <v>236118.1</v>
      </c>
      <c r="Y10" s="308">
        <v>390390.53</v>
      </c>
      <c r="Z10" s="261">
        <v>3199</v>
      </c>
      <c r="AA10" s="261">
        <v>4410</v>
      </c>
      <c r="AB10" s="309"/>
      <c r="AC10" s="310">
        <f>AG10+AK10+AO10</f>
        <v>801470.71</v>
      </c>
      <c r="AD10" s="310">
        <f>AH10+AL10+AP10</f>
        <v>801470.71</v>
      </c>
      <c r="AE10" s="261">
        <v>3801</v>
      </c>
      <c r="AF10" s="261">
        <f>AJ10+AN10+AR10</f>
        <v>13593</v>
      </c>
      <c r="AG10" s="308">
        <v>260212.87</v>
      </c>
      <c r="AH10" s="266">
        <v>260212.87</v>
      </c>
      <c r="AI10" s="261">
        <v>3096</v>
      </c>
      <c r="AJ10" s="261">
        <v>4403</v>
      </c>
      <c r="AK10" s="308">
        <v>264473.34999999998</v>
      </c>
      <c r="AL10" s="266">
        <v>264473.34999999998</v>
      </c>
      <c r="AM10" s="261">
        <v>3254</v>
      </c>
      <c r="AN10" s="261">
        <v>4591</v>
      </c>
      <c r="AO10" s="308">
        <v>276784.49</v>
      </c>
      <c r="AP10" s="266">
        <v>276784.49</v>
      </c>
      <c r="AQ10" s="261">
        <v>3257</v>
      </c>
      <c r="AR10" s="261">
        <v>4599</v>
      </c>
      <c r="AS10" s="309"/>
      <c r="AT10" s="310">
        <f>AX10+BB10+BF10</f>
        <v>763218.66</v>
      </c>
      <c r="AU10" s="310">
        <f>AY10+BC10+BG10</f>
        <v>763218.66</v>
      </c>
      <c r="AV10" s="261">
        <v>3876</v>
      </c>
      <c r="AW10" s="261">
        <f>BA10+BE10+BI10</f>
        <v>13888</v>
      </c>
      <c r="AX10" s="308">
        <v>274875.87</v>
      </c>
      <c r="AY10" s="266">
        <v>90354.58</v>
      </c>
      <c r="AZ10" s="261">
        <v>3320</v>
      </c>
      <c r="BA10" s="261">
        <v>4726</v>
      </c>
      <c r="BB10" s="308">
        <v>242088.07</v>
      </c>
      <c r="BC10" s="266">
        <v>426609.36</v>
      </c>
      <c r="BD10" s="261">
        <v>3272</v>
      </c>
      <c r="BE10" s="261">
        <v>4481</v>
      </c>
      <c r="BF10" s="308">
        <v>246254.72</v>
      </c>
      <c r="BG10" s="266">
        <v>246254.72</v>
      </c>
      <c r="BH10" s="261">
        <v>3304</v>
      </c>
      <c r="BI10" s="261">
        <v>4681</v>
      </c>
      <c r="BJ10" s="309"/>
      <c r="BK10" s="310">
        <f>BO10+BS10+BW10</f>
        <v>1008350.8200000001</v>
      </c>
      <c r="BL10" s="310">
        <f>BP10+BT10+BX10</f>
        <v>1008350.8200000001</v>
      </c>
      <c r="BM10" s="261">
        <v>4100</v>
      </c>
      <c r="BN10" s="261">
        <f>BR10+BV10+BZ10</f>
        <v>17981</v>
      </c>
      <c r="BO10" s="266">
        <v>446857.13</v>
      </c>
      <c r="BP10" s="266">
        <v>271003.89</v>
      </c>
      <c r="BQ10" s="262">
        <v>3684</v>
      </c>
      <c r="BR10" s="262">
        <v>8000</v>
      </c>
      <c r="BS10" s="266">
        <v>95022.29</v>
      </c>
      <c r="BT10" s="266">
        <v>270875.53000000003</v>
      </c>
      <c r="BU10" s="262">
        <v>958</v>
      </c>
      <c r="BV10" s="262">
        <v>1308</v>
      </c>
      <c r="BW10" s="266">
        <v>466471.4</v>
      </c>
      <c r="BX10" s="266">
        <v>466471.4</v>
      </c>
      <c r="BY10" s="262">
        <v>3776</v>
      </c>
      <c r="BZ10" s="262">
        <v>8673</v>
      </c>
      <c r="CA10" s="305"/>
    </row>
    <row r="11" spans="1:79" s="313" customFormat="1" ht="42" customHeight="1" x14ac:dyDescent="0.25">
      <c r="A11" s="311"/>
      <c r="B11" s="268" t="s">
        <v>360</v>
      </c>
      <c r="C11" s="266"/>
      <c r="D11" s="266"/>
      <c r="E11" s="266">
        <v>2679600</v>
      </c>
      <c r="F11" s="308"/>
      <c r="G11" s="308">
        <f>L11+AC11+AT11+BK11</f>
        <v>2679545.9799999995</v>
      </c>
      <c r="H11" s="308">
        <f>M11+AD11+AU11+BL11</f>
        <v>2679545.98</v>
      </c>
      <c r="I11" s="261">
        <v>570</v>
      </c>
      <c r="J11" s="261">
        <f>O11+AF11+AW11+BN11</f>
        <v>831</v>
      </c>
      <c r="K11" s="309"/>
      <c r="L11" s="310">
        <f>P11+T11+X11</f>
        <v>512105.43000000005</v>
      </c>
      <c r="M11" s="310">
        <f>Q11+U11+Y11</f>
        <v>512105.43</v>
      </c>
      <c r="N11" s="261">
        <v>156</v>
      </c>
      <c r="O11" s="261">
        <f>S11+W11+AA11</f>
        <v>168</v>
      </c>
      <c r="P11" s="308">
        <v>116292.38</v>
      </c>
      <c r="Q11" s="308">
        <v>93789.29</v>
      </c>
      <c r="R11" s="261">
        <v>33</v>
      </c>
      <c r="S11" s="261">
        <v>33</v>
      </c>
      <c r="T11" s="308">
        <v>189522.91</v>
      </c>
      <c r="U11" s="308">
        <v>134383.01999999999</v>
      </c>
      <c r="V11" s="261">
        <v>67</v>
      </c>
      <c r="W11" s="261">
        <v>67</v>
      </c>
      <c r="X11" s="308">
        <v>206290.14</v>
      </c>
      <c r="Y11" s="308">
        <v>283933.12</v>
      </c>
      <c r="Z11" s="261">
        <v>68</v>
      </c>
      <c r="AA11" s="261">
        <v>68</v>
      </c>
      <c r="AB11" s="309"/>
      <c r="AC11" s="310">
        <f>AG11+AK11+AO11</f>
        <v>634383.51</v>
      </c>
      <c r="AD11" s="310">
        <f>AH11+AL11+AP11</f>
        <v>634383.51</v>
      </c>
      <c r="AE11" s="261">
        <v>176</v>
      </c>
      <c r="AF11" s="261">
        <f>AJ11+AN11+AR11</f>
        <v>190</v>
      </c>
      <c r="AG11" s="308">
        <v>232519.6</v>
      </c>
      <c r="AH11" s="266">
        <v>232519.6</v>
      </c>
      <c r="AI11" s="261">
        <v>66</v>
      </c>
      <c r="AJ11" s="261">
        <v>67</v>
      </c>
      <c r="AK11" s="308">
        <v>225545.67</v>
      </c>
      <c r="AL11" s="266">
        <v>225545.67</v>
      </c>
      <c r="AM11" s="261">
        <v>71</v>
      </c>
      <c r="AN11" s="261">
        <v>71</v>
      </c>
      <c r="AO11" s="308">
        <v>176318.24</v>
      </c>
      <c r="AP11" s="266">
        <v>176318.24</v>
      </c>
      <c r="AQ11" s="261">
        <v>50</v>
      </c>
      <c r="AR11" s="261">
        <v>52</v>
      </c>
      <c r="AS11" s="309"/>
      <c r="AT11" s="310">
        <f>AX11+BB11+BF11</f>
        <v>750843.86</v>
      </c>
      <c r="AU11" s="310">
        <f>AY11+BC11+BG11</f>
        <v>730369.03</v>
      </c>
      <c r="AV11" s="261">
        <v>195</v>
      </c>
      <c r="AW11" s="261">
        <f>BA11+BE11+BI11</f>
        <v>220</v>
      </c>
      <c r="AX11" s="308">
        <v>329567.46999999997</v>
      </c>
      <c r="AY11" s="266">
        <v>226723.11</v>
      </c>
      <c r="AZ11" s="261">
        <v>96</v>
      </c>
      <c r="BA11" s="261">
        <v>98</v>
      </c>
      <c r="BB11" s="308">
        <v>215245.37</v>
      </c>
      <c r="BC11" s="266">
        <v>318089.73</v>
      </c>
      <c r="BD11" s="261">
        <v>59</v>
      </c>
      <c r="BE11" s="261">
        <v>59</v>
      </c>
      <c r="BF11" s="308">
        <v>206031.02</v>
      </c>
      <c r="BG11" s="266">
        <v>185556.19</v>
      </c>
      <c r="BH11" s="261">
        <v>63</v>
      </c>
      <c r="BI11" s="261">
        <v>63</v>
      </c>
      <c r="BJ11" s="309"/>
      <c r="BK11" s="310">
        <f>BO11+BS11+BW11</f>
        <v>782213.17999999993</v>
      </c>
      <c r="BL11" s="310">
        <f>BP11+BT11+BX11</f>
        <v>802688.01</v>
      </c>
      <c r="BM11" s="261">
        <v>223</v>
      </c>
      <c r="BN11" s="261">
        <f>BR11+BV11+BZ11</f>
        <v>253</v>
      </c>
      <c r="BO11" s="266">
        <v>234348.54</v>
      </c>
      <c r="BP11" s="266">
        <v>254823.37</v>
      </c>
      <c r="BQ11" s="262">
        <v>70</v>
      </c>
      <c r="BR11" s="262">
        <v>71</v>
      </c>
      <c r="BS11" s="266">
        <v>236063.8</v>
      </c>
      <c r="BT11" s="266">
        <v>236063.8</v>
      </c>
      <c r="BU11" s="262">
        <v>81</v>
      </c>
      <c r="BV11" s="262">
        <v>82</v>
      </c>
      <c r="BW11" s="266">
        <v>311800.84000000003</v>
      </c>
      <c r="BX11" s="266">
        <v>311800.84000000003</v>
      </c>
      <c r="BY11" s="262">
        <v>96</v>
      </c>
      <c r="BZ11" s="262">
        <v>100</v>
      </c>
      <c r="CA11" s="305"/>
    </row>
    <row r="12" spans="1:79" s="306" customFormat="1" ht="42" customHeight="1" x14ac:dyDescent="0.2">
      <c r="A12" s="300" t="s">
        <v>361</v>
      </c>
      <c r="B12" s="301" t="s">
        <v>362</v>
      </c>
      <c r="C12" s="267">
        <v>7526000</v>
      </c>
      <c r="D12" s="267">
        <v>5686600</v>
      </c>
      <c r="E12" s="267">
        <f>SUM(E13:E19)</f>
        <v>5686600</v>
      </c>
      <c r="F12" s="303">
        <f>K12+AB12+AS12+BJ12</f>
        <v>5686600</v>
      </c>
      <c r="G12" s="304">
        <f>SUM(G13:G19)</f>
        <v>5613279.9100000001</v>
      </c>
      <c r="H12" s="304">
        <f>SUM(H13:H19)</f>
        <v>5686307.0099999998</v>
      </c>
      <c r="I12" s="263">
        <f>SUM(I13:I19)</f>
        <v>114595</v>
      </c>
      <c r="J12" s="263">
        <f>SUM(J13:J19)</f>
        <v>236971</v>
      </c>
      <c r="K12" s="267">
        <v>1337000</v>
      </c>
      <c r="L12" s="304">
        <f t="shared" ref="L12:AA12" si="11">SUM(L13:L19)</f>
        <v>927166.47</v>
      </c>
      <c r="M12" s="304">
        <f t="shared" si="11"/>
        <v>834603.33</v>
      </c>
      <c r="N12" s="263">
        <f t="shared" si="11"/>
        <v>43822</v>
      </c>
      <c r="O12" s="263">
        <f t="shared" si="11"/>
        <v>51206</v>
      </c>
      <c r="P12" s="304">
        <f t="shared" si="11"/>
        <v>294629.01</v>
      </c>
      <c r="Q12" s="304">
        <f t="shared" si="11"/>
        <v>139961.01</v>
      </c>
      <c r="R12" s="263">
        <f t="shared" si="11"/>
        <v>17672</v>
      </c>
      <c r="S12" s="263">
        <f t="shared" si="11"/>
        <v>17975</v>
      </c>
      <c r="T12" s="304">
        <f t="shared" si="11"/>
        <v>281289.13</v>
      </c>
      <c r="U12" s="304">
        <f t="shared" si="11"/>
        <v>313375.49</v>
      </c>
      <c r="V12" s="263">
        <f t="shared" si="11"/>
        <v>17122</v>
      </c>
      <c r="W12" s="263">
        <f t="shared" si="11"/>
        <v>17267</v>
      </c>
      <c r="X12" s="304">
        <f t="shared" si="11"/>
        <v>351248.32999999996</v>
      </c>
      <c r="Y12" s="304">
        <f t="shared" si="11"/>
        <v>381266.82999999996</v>
      </c>
      <c r="Z12" s="263">
        <f t="shared" si="11"/>
        <v>15867</v>
      </c>
      <c r="AA12" s="263">
        <f t="shared" si="11"/>
        <v>15964</v>
      </c>
      <c r="AB12" s="267">
        <v>2146000</v>
      </c>
      <c r="AC12" s="304">
        <f t="shared" ref="AC12:AR12" si="12">SUM(AC13:AC19)</f>
        <v>1381049.99</v>
      </c>
      <c r="AD12" s="304">
        <f t="shared" si="12"/>
        <v>1401544.85</v>
      </c>
      <c r="AE12" s="263">
        <f t="shared" si="12"/>
        <v>41650</v>
      </c>
      <c r="AF12" s="263">
        <f t="shared" si="12"/>
        <v>52254</v>
      </c>
      <c r="AG12" s="304">
        <f t="shared" si="12"/>
        <v>454614.2</v>
      </c>
      <c r="AH12" s="267">
        <f t="shared" si="12"/>
        <v>423732.56</v>
      </c>
      <c r="AI12" s="263">
        <f>SUM(AI13:AI19)</f>
        <v>17368</v>
      </c>
      <c r="AJ12" s="263">
        <f t="shared" si="12"/>
        <v>17671</v>
      </c>
      <c r="AK12" s="304">
        <f t="shared" si="12"/>
        <v>437841.9</v>
      </c>
      <c r="AL12" s="267">
        <f t="shared" si="12"/>
        <v>436379.4</v>
      </c>
      <c r="AM12" s="263">
        <f t="shared" si="12"/>
        <v>15939</v>
      </c>
      <c r="AN12" s="263">
        <f t="shared" si="12"/>
        <v>16065</v>
      </c>
      <c r="AO12" s="304">
        <f>SUM(AO13:AO19)</f>
        <v>488593.88999999996</v>
      </c>
      <c r="AP12" s="267">
        <f>SUM(AP13:AP19)</f>
        <v>541432.89</v>
      </c>
      <c r="AQ12" s="263">
        <f t="shared" si="12"/>
        <v>18324</v>
      </c>
      <c r="AR12" s="263">
        <f t="shared" si="12"/>
        <v>18518</v>
      </c>
      <c r="AS12" s="267">
        <v>625900</v>
      </c>
      <c r="AT12" s="304">
        <f t="shared" ref="AT12:BI12" si="13">SUM(AT13:AT19)</f>
        <v>1618385.46</v>
      </c>
      <c r="AU12" s="304">
        <f t="shared" si="13"/>
        <v>1459300.8399999999</v>
      </c>
      <c r="AV12" s="263">
        <f t="shared" si="13"/>
        <v>43413</v>
      </c>
      <c r="AW12" s="263">
        <f>SUM(AW13:AW19)</f>
        <v>63496</v>
      </c>
      <c r="AX12" s="304">
        <f t="shared" si="13"/>
        <v>504135.7</v>
      </c>
      <c r="AY12" s="267">
        <f t="shared" si="13"/>
        <v>398691.7</v>
      </c>
      <c r="AZ12" s="263">
        <f t="shared" si="13"/>
        <v>19172</v>
      </c>
      <c r="BA12" s="263">
        <f t="shared" si="13"/>
        <v>19365</v>
      </c>
      <c r="BB12" s="304">
        <f t="shared" si="13"/>
        <v>560655.49</v>
      </c>
      <c r="BC12" s="267">
        <f t="shared" si="13"/>
        <v>685509.49000000011</v>
      </c>
      <c r="BD12" s="263">
        <f t="shared" si="13"/>
        <v>21081</v>
      </c>
      <c r="BE12" s="263">
        <f t="shared" si="13"/>
        <v>21614</v>
      </c>
      <c r="BF12" s="304">
        <f t="shared" si="13"/>
        <v>553594.27</v>
      </c>
      <c r="BG12" s="267">
        <f t="shared" si="13"/>
        <v>375099.65</v>
      </c>
      <c r="BH12" s="263">
        <f t="shared" si="13"/>
        <v>20639</v>
      </c>
      <c r="BI12" s="263">
        <f t="shared" si="13"/>
        <v>22517</v>
      </c>
      <c r="BJ12" s="267">
        <v>1577700</v>
      </c>
      <c r="BK12" s="304">
        <f t="shared" ref="BK12:BZ12" si="14">SUM(BK13:BK19)</f>
        <v>1686677.99</v>
      </c>
      <c r="BL12" s="304">
        <f t="shared" si="14"/>
        <v>1990857.99</v>
      </c>
      <c r="BM12" s="263">
        <f t="shared" si="14"/>
        <v>42301</v>
      </c>
      <c r="BN12" s="263">
        <f t="shared" si="14"/>
        <v>70015</v>
      </c>
      <c r="BO12" s="267">
        <f t="shared" si="14"/>
        <v>544375.02</v>
      </c>
      <c r="BP12" s="267">
        <f t="shared" si="14"/>
        <v>678769.02</v>
      </c>
      <c r="BQ12" s="264">
        <f t="shared" si="14"/>
        <v>20446</v>
      </c>
      <c r="BR12" s="264">
        <f t="shared" si="14"/>
        <v>22778</v>
      </c>
      <c r="BS12" s="267">
        <f t="shared" si="14"/>
        <v>589285.09</v>
      </c>
      <c r="BT12" s="267">
        <f t="shared" si="14"/>
        <v>527014.09000000008</v>
      </c>
      <c r="BU12" s="264">
        <f t="shared" si="14"/>
        <v>21788</v>
      </c>
      <c r="BV12" s="264">
        <f t="shared" si="14"/>
        <v>24748</v>
      </c>
      <c r="BW12" s="267">
        <f t="shared" si="14"/>
        <v>553017.88</v>
      </c>
      <c r="BX12" s="267">
        <f t="shared" si="14"/>
        <v>785074.88</v>
      </c>
      <c r="BY12" s="264">
        <f t="shared" si="14"/>
        <v>19972</v>
      </c>
      <c r="BZ12" s="264">
        <f t="shared" si="14"/>
        <v>22489</v>
      </c>
      <c r="CA12" s="305"/>
    </row>
    <row r="13" spans="1:79" s="313" customFormat="1" ht="42" customHeight="1" x14ac:dyDescent="0.25">
      <c r="A13" s="311"/>
      <c r="B13" s="260" t="s">
        <v>363</v>
      </c>
      <c r="C13" s="266"/>
      <c r="D13" s="266"/>
      <c r="E13" s="266">
        <f>4569500-33800</f>
        <v>4535700</v>
      </c>
      <c r="F13" s="308"/>
      <c r="G13" s="308">
        <f t="shared" ref="G13:H19" si="15">L13+AC13+AT13+BK13</f>
        <v>4535581.3</v>
      </c>
      <c r="H13" s="308">
        <f t="shared" si="15"/>
        <v>4535562.8</v>
      </c>
      <c r="I13" s="261">
        <v>60627</v>
      </c>
      <c r="J13" s="261">
        <f>O13+AF13+AW13+BN13</f>
        <v>181194</v>
      </c>
      <c r="K13" s="309"/>
      <c r="L13" s="310">
        <f t="shared" ref="L13:M19" si="16">P13+T13+X13</f>
        <v>666957</v>
      </c>
      <c r="M13" s="310">
        <f t="shared" si="16"/>
        <v>559499</v>
      </c>
      <c r="N13" s="261">
        <v>30280</v>
      </c>
      <c r="O13" s="261">
        <f>S13+W13+AA13</f>
        <v>37328</v>
      </c>
      <c r="P13" s="308">
        <v>206043</v>
      </c>
      <c r="Q13" s="308">
        <v>46875</v>
      </c>
      <c r="R13" s="261">
        <v>13134</v>
      </c>
      <c r="S13" s="261">
        <v>13416</v>
      </c>
      <c r="T13" s="308">
        <v>195861.5</v>
      </c>
      <c r="U13" s="308">
        <v>222053</v>
      </c>
      <c r="V13" s="261">
        <v>12396</v>
      </c>
      <c r="W13" s="261">
        <v>12526</v>
      </c>
      <c r="X13" s="308">
        <v>265052.5</v>
      </c>
      <c r="Y13" s="308">
        <v>290571</v>
      </c>
      <c r="Z13" s="261">
        <v>11305</v>
      </c>
      <c r="AA13" s="261">
        <v>11386</v>
      </c>
      <c r="AB13" s="262"/>
      <c r="AC13" s="261">
        <f t="shared" ref="AC13:AD19" si="17">AG13+AK13+AO13</f>
        <v>1116072.5</v>
      </c>
      <c r="AD13" s="261">
        <f t="shared" si="17"/>
        <v>1121672.5</v>
      </c>
      <c r="AE13" s="261">
        <v>29271</v>
      </c>
      <c r="AF13" s="261">
        <f>AJ13+AN13+AR13</f>
        <v>39548</v>
      </c>
      <c r="AG13" s="308">
        <v>361982</v>
      </c>
      <c r="AH13" s="266">
        <v>325205.5</v>
      </c>
      <c r="AI13" s="261">
        <v>12940</v>
      </c>
      <c r="AJ13" s="261">
        <v>13224</v>
      </c>
      <c r="AK13" s="308">
        <v>353227</v>
      </c>
      <c r="AL13" s="266">
        <f>343298+3966.5</f>
        <v>347264.5</v>
      </c>
      <c r="AM13" s="261">
        <v>12031</v>
      </c>
      <c r="AN13" s="261">
        <v>12150</v>
      </c>
      <c r="AO13" s="308">
        <v>400863.5</v>
      </c>
      <c r="AP13" s="266">
        <f>453169-3966.5</f>
        <v>449202.5</v>
      </c>
      <c r="AQ13" s="261">
        <v>13999</v>
      </c>
      <c r="AR13" s="261">
        <v>14174</v>
      </c>
      <c r="AS13" s="309"/>
      <c r="AT13" s="261">
        <f t="shared" ref="AT13:AU19" si="18">AX13+BB13+BF13</f>
        <v>1334720.8</v>
      </c>
      <c r="AU13" s="261">
        <f t="shared" si="18"/>
        <v>1145880.3</v>
      </c>
      <c r="AV13" s="261">
        <v>29024</v>
      </c>
      <c r="AW13" s="261">
        <f t="shared" ref="AW13:AW19" si="19">BA13+BE13+BI13</f>
        <v>48755</v>
      </c>
      <c r="AX13" s="308">
        <v>411168</v>
      </c>
      <c r="AY13" s="266">
        <v>301224</v>
      </c>
      <c r="AZ13" s="261">
        <v>14591</v>
      </c>
      <c r="BA13" s="261">
        <v>14771</v>
      </c>
      <c r="BB13" s="308">
        <v>465398.8</v>
      </c>
      <c r="BC13" s="266">
        <v>574502.80000000005</v>
      </c>
      <c r="BD13" s="261">
        <v>16051</v>
      </c>
      <c r="BE13" s="261">
        <v>16568</v>
      </c>
      <c r="BF13" s="308">
        <v>458154</v>
      </c>
      <c r="BG13" s="266">
        <v>270153.5</v>
      </c>
      <c r="BH13" s="261">
        <v>15558</v>
      </c>
      <c r="BI13" s="261">
        <v>17416</v>
      </c>
      <c r="BJ13" s="309"/>
      <c r="BK13" s="310">
        <f>BO13+BS13+BW13</f>
        <v>1417831</v>
      </c>
      <c r="BL13" s="310">
        <f t="shared" ref="BK13:BL19" si="20">BP13+BT13+BX13</f>
        <v>1708511</v>
      </c>
      <c r="BM13" s="261">
        <v>28191</v>
      </c>
      <c r="BN13" s="261">
        <f>BR13+BV13+BZ13</f>
        <v>55563</v>
      </c>
      <c r="BO13" s="266">
        <v>453036</v>
      </c>
      <c r="BP13" s="266">
        <v>582930</v>
      </c>
      <c r="BQ13" s="262">
        <v>15733</v>
      </c>
      <c r="BR13" s="262">
        <v>18045</v>
      </c>
      <c r="BS13" s="266">
        <v>492045</v>
      </c>
      <c r="BT13" s="266">
        <v>425274</v>
      </c>
      <c r="BU13" s="262">
        <v>16482</v>
      </c>
      <c r="BV13" s="262">
        <v>19425</v>
      </c>
      <c r="BW13" s="266">
        <v>472750</v>
      </c>
      <c r="BX13" s="266">
        <v>700307</v>
      </c>
      <c r="BY13" s="262">
        <v>15590</v>
      </c>
      <c r="BZ13" s="262">
        <v>18093</v>
      </c>
      <c r="CA13" s="305"/>
    </row>
    <row r="14" spans="1:79" s="313" customFormat="1" ht="42" customHeight="1" x14ac:dyDescent="0.25">
      <c r="A14" s="311"/>
      <c r="B14" s="260" t="s">
        <v>421</v>
      </c>
      <c r="C14" s="266"/>
      <c r="D14" s="266"/>
      <c r="E14" s="266">
        <v>33800</v>
      </c>
      <c r="F14" s="308"/>
      <c r="G14" s="308">
        <f t="shared" si="15"/>
        <v>33750</v>
      </c>
      <c r="H14" s="308">
        <f t="shared" si="15"/>
        <v>33750</v>
      </c>
      <c r="I14" s="261">
        <v>67</v>
      </c>
      <c r="J14" s="261">
        <f>O14+AF14+AW14+BN14</f>
        <v>96</v>
      </c>
      <c r="K14" s="309"/>
      <c r="L14" s="310">
        <f t="shared" si="16"/>
        <v>0</v>
      </c>
      <c r="M14" s="310">
        <f t="shared" si="16"/>
        <v>0</v>
      </c>
      <c r="N14" s="261">
        <v>0</v>
      </c>
      <c r="O14" s="261">
        <f>S14+W14+AA14</f>
        <v>0</v>
      </c>
      <c r="P14" s="308">
        <v>0</v>
      </c>
      <c r="Q14" s="308"/>
      <c r="R14" s="261">
        <v>0</v>
      </c>
      <c r="S14" s="261">
        <v>0</v>
      </c>
      <c r="T14" s="308">
        <v>0</v>
      </c>
      <c r="U14" s="308"/>
      <c r="V14" s="261">
        <v>0</v>
      </c>
      <c r="W14" s="261">
        <v>0</v>
      </c>
      <c r="X14" s="308">
        <v>0</v>
      </c>
      <c r="Y14" s="308"/>
      <c r="Z14" s="261">
        <v>0</v>
      </c>
      <c r="AA14" s="261">
        <v>0</v>
      </c>
      <c r="AB14" s="262"/>
      <c r="AC14" s="261">
        <f t="shared" si="17"/>
        <v>11250</v>
      </c>
      <c r="AD14" s="261">
        <f t="shared" si="17"/>
        <v>11250</v>
      </c>
      <c r="AE14" s="261">
        <v>23</v>
      </c>
      <c r="AF14" s="261">
        <f>AJ14+AN14+AR14</f>
        <v>32</v>
      </c>
      <c r="AG14" s="308">
        <v>3750</v>
      </c>
      <c r="AH14" s="266">
        <v>3750</v>
      </c>
      <c r="AI14" s="261">
        <v>4</v>
      </c>
      <c r="AJ14" s="261">
        <v>5</v>
      </c>
      <c r="AK14" s="308">
        <v>3750</v>
      </c>
      <c r="AL14" s="266">
        <v>3750</v>
      </c>
      <c r="AM14" s="261">
        <v>9</v>
      </c>
      <c r="AN14" s="261">
        <v>9</v>
      </c>
      <c r="AO14" s="308">
        <v>3750</v>
      </c>
      <c r="AP14" s="266">
        <v>3750</v>
      </c>
      <c r="AQ14" s="261">
        <v>16</v>
      </c>
      <c r="AR14" s="261">
        <v>18</v>
      </c>
      <c r="AS14" s="309"/>
      <c r="AT14" s="261">
        <f t="shared" si="18"/>
        <v>11250</v>
      </c>
      <c r="AU14" s="261">
        <f t="shared" si="18"/>
        <v>11250</v>
      </c>
      <c r="AV14" s="261">
        <v>31</v>
      </c>
      <c r="AW14" s="261">
        <f t="shared" si="19"/>
        <v>40</v>
      </c>
      <c r="AX14" s="308">
        <v>3750</v>
      </c>
      <c r="AY14" s="266">
        <v>3750</v>
      </c>
      <c r="AZ14" s="261">
        <v>13</v>
      </c>
      <c r="BA14" s="261">
        <v>14</v>
      </c>
      <c r="BB14" s="308">
        <v>3750</v>
      </c>
      <c r="BC14" s="266">
        <v>3750</v>
      </c>
      <c r="BD14" s="261">
        <v>15</v>
      </c>
      <c r="BE14" s="261">
        <v>15</v>
      </c>
      <c r="BF14" s="308">
        <v>3750</v>
      </c>
      <c r="BG14" s="266">
        <v>3750</v>
      </c>
      <c r="BH14" s="261">
        <v>10</v>
      </c>
      <c r="BI14" s="261">
        <v>11</v>
      </c>
      <c r="BJ14" s="309"/>
      <c r="BK14" s="310">
        <f>BO14+BS14+BW14</f>
        <v>11250</v>
      </c>
      <c r="BL14" s="310">
        <f t="shared" si="20"/>
        <v>11250</v>
      </c>
      <c r="BM14" s="261">
        <v>18</v>
      </c>
      <c r="BN14" s="261">
        <f>BR14+BV14+BZ14</f>
        <v>24</v>
      </c>
      <c r="BO14" s="266">
        <v>3750</v>
      </c>
      <c r="BP14" s="266">
        <v>3750</v>
      </c>
      <c r="BQ14" s="262">
        <v>6</v>
      </c>
      <c r="BR14" s="262">
        <v>6</v>
      </c>
      <c r="BS14" s="266">
        <v>3750</v>
      </c>
      <c r="BT14" s="266">
        <v>3750</v>
      </c>
      <c r="BU14" s="262">
        <v>8</v>
      </c>
      <c r="BV14" s="262">
        <v>9</v>
      </c>
      <c r="BW14" s="266">
        <v>3750</v>
      </c>
      <c r="BX14" s="266">
        <v>3750</v>
      </c>
      <c r="BY14" s="262">
        <v>9</v>
      </c>
      <c r="BZ14" s="262">
        <v>9</v>
      </c>
      <c r="CA14" s="305"/>
    </row>
    <row r="15" spans="1:79" s="313" customFormat="1" ht="42" customHeight="1" x14ac:dyDescent="0.25">
      <c r="A15" s="311"/>
      <c r="B15" s="268" t="s">
        <v>364</v>
      </c>
      <c r="C15" s="266"/>
      <c r="D15" s="266"/>
      <c r="E15" s="266">
        <v>361000</v>
      </c>
      <c r="F15" s="308"/>
      <c r="G15" s="308">
        <f t="shared" si="15"/>
        <v>360969.20999999996</v>
      </c>
      <c r="H15" s="308">
        <f t="shared" si="15"/>
        <v>360969.20999999996</v>
      </c>
      <c r="I15" s="261">
        <v>4078</v>
      </c>
      <c r="J15" s="261">
        <f>O15+AF15+AW15+BN15</f>
        <v>4167</v>
      </c>
      <c r="K15" s="309"/>
      <c r="L15" s="310">
        <f t="shared" si="16"/>
        <v>89362.069999999992</v>
      </c>
      <c r="M15" s="310">
        <f t="shared" si="16"/>
        <v>89362.069999999992</v>
      </c>
      <c r="N15" s="261">
        <v>953</v>
      </c>
      <c r="O15" s="261">
        <f>S15+W15+AA15</f>
        <v>973</v>
      </c>
      <c r="P15" s="308">
        <v>32684.61</v>
      </c>
      <c r="Q15" s="308">
        <v>32684.61</v>
      </c>
      <c r="R15" s="261">
        <v>314</v>
      </c>
      <c r="S15" s="261">
        <v>317</v>
      </c>
      <c r="T15" s="308">
        <v>26177.23</v>
      </c>
      <c r="U15" s="308">
        <v>26177.23</v>
      </c>
      <c r="V15" s="261">
        <v>315</v>
      </c>
      <c r="W15" s="261">
        <v>317</v>
      </c>
      <c r="X15" s="308">
        <v>30500.23</v>
      </c>
      <c r="Y15" s="308">
        <v>30500.23</v>
      </c>
      <c r="Z15" s="261">
        <v>337</v>
      </c>
      <c r="AA15" s="261">
        <v>339</v>
      </c>
      <c r="AB15" s="309"/>
      <c r="AC15" s="310">
        <f t="shared" si="17"/>
        <v>99691.290000000008</v>
      </c>
      <c r="AD15" s="310">
        <f t="shared" si="17"/>
        <v>99691.290000000008</v>
      </c>
      <c r="AE15" s="261">
        <v>1132</v>
      </c>
      <c r="AF15" s="261">
        <f>AJ15+AN15+AR15</f>
        <v>1149</v>
      </c>
      <c r="AG15" s="308">
        <v>34417.800000000003</v>
      </c>
      <c r="AH15" s="266">
        <v>34417.800000000003</v>
      </c>
      <c r="AI15" s="261">
        <v>361</v>
      </c>
      <c r="AJ15" s="261">
        <v>364</v>
      </c>
      <c r="AK15" s="308">
        <v>34293.699999999997</v>
      </c>
      <c r="AL15" s="266">
        <v>34293.699999999997</v>
      </c>
      <c r="AM15" s="261">
        <v>361</v>
      </c>
      <c r="AN15" s="261">
        <v>362</v>
      </c>
      <c r="AO15" s="308">
        <v>30979.79</v>
      </c>
      <c r="AP15" s="266">
        <v>30979.79</v>
      </c>
      <c r="AQ15" s="261">
        <v>421</v>
      </c>
      <c r="AR15" s="261">
        <v>423</v>
      </c>
      <c r="AS15" s="309"/>
      <c r="AT15" s="310">
        <f t="shared" si="18"/>
        <v>91981.459999999992</v>
      </c>
      <c r="AU15" s="310">
        <f t="shared" si="18"/>
        <v>91981.459999999992</v>
      </c>
      <c r="AV15" s="261">
        <v>1055</v>
      </c>
      <c r="AW15" s="261">
        <f t="shared" si="19"/>
        <v>1072</v>
      </c>
      <c r="AX15" s="308">
        <v>33445.5</v>
      </c>
      <c r="AY15" s="266">
        <v>33445.5</v>
      </c>
      <c r="AZ15" s="261">
        <v>395</v>
      </c>
      <c r="BA15" s="261">
        <v>396</v>
      </c>
      <c r="BB15" s="308">
        <v>28767.89</v>
      </c>
      <c r="BC15" s="266">
        <v>28767.89</v>
      </c>
      <c r="BD15" s="261">
        <v>347</v>
      </c>
      <c r="BE15" s="261">
        <v>349</v>
      </c>
      <c r="BF15" s="308">
        <v>29768.07</v>
      </c>
      <c r="BG15" s="266">
        <v>29768.07</v>
      </c>
      <c r="BH15" s="261">
        <v>324</v>
      </c>
      <c r="BI15" s="261">
        <v>327</v>
      </c>
      <c r="BJ15" s="309"/>
      <c r="BK15" s="310">
        <f t="shared" si="20"/>
        <v>79934.39</v>
      </c>
      <c r="BL15" s="310">
        <f t="shared" si="20"/>
        <v>79934.39</v>
      </c>
      <c r="BM15" s="261">
        <v>958</v>
      </c>
      <c r="BN15" s="261">
        <f>BR15+BV15+BZ15</f>
        <v>973</v>
      </c>
      <c r="BO15" s="266">
        <v>29019.62</v>
      </c>
      <c r="BP15" s="266">
        <v>29019.62</v>
      </c>
      <c r="BQ15" s="262">
        <v>333</v>
      </c>
      <c r="BR15" s="262">
        <v>334</v>
      </c>
      <c r="BS15" s="266">
        <v>29205.89</v>
      </c>
      <c r="BT15" s="266">
        <v>29205.89</v>
      </c>
      <c r="BU15" s="262">
        <v>335</v>
      </c>
      <c r="BV15" s="262">
        <v>337</v>
      </c>
      <c r="BW15" s="266">
        <v>21708.880000000001</v>
      </c>
      <c r="BX15" s="266">
        <v>21708.880000000001</v>
      </c>
      <c r="BY15" s="262">
        <v>302</v>
      </c>
      <c r="BZ15" s="262">
        <v>302</v>
      </c>
      <c r="CA15" s="305"/>
    </row>
    <row r="16" spans="1:79" s="313" customFormat="1" ht="42" customHeight="1" x14ac:dyDescent="0.25">
      <c r="A16" s="311"/>
      <c r="B16" s="268" t="s">
        <v>365</v>
      </c>
      <c r="C16" s="266"/>
      <c r="D16" s="266"/>
      <c r="E16" s="266">
        <v>683000</v>
      </c>
      <c r="F16" s="308"/>
      <c r="G16" s="308">
        <f t="shared" si="15"/>
        <v>682979.4</v>
      </c>
      <c r="H16" s="308">
        <f t="shared" si="15"/>
        <v>682979.4</v>
      </c>
      <c r="I16" s="261">
        <v>49823</v>
      </c>
      <c r="J16" s="261">
        <f>O16+AF16+AW16+BN16</f>
        <v>51514</v>
      </c>
      <c r="K16" s="309"/>
      <c r="L16" s="310">
        <f t="shared" si="16"/>
        <v>170847.4</v>
      </c>
      <c r="M16" s="310">
        <f t="shared" si="16"/>
        <v>170847.4</v>
      </c>
      <c r="N16" s="261">
        <v>12589</v>
      </c>
      <c r="O16" s="261">
        <f>S16+W16+AA16</f>
        <v>12905</v>
      </c>
      <c r="P16" s="308">
        <v>55901.4</v>
      </c>
      <c r="Q16" s="308">
        <v>55901.4</v>
      </c>
      <c r="R16" s="261">
        <v>4224</v>
      </c>
      <c r="S16" s="261">
        <v>4242</v>
      </c>
      <c r="T16" s="308">
        <v>59250.400000000001</v>
      </c>
      <c r="U16" s="308">
        <v>59250.400000000001</v>
      </c>
      <c r="V16" s="261">
        <v>4411</v>
      </c>
      <c r="W16" s="261">
        <v>4424</v>
      </c>
      <c r="X16" s="308">
        <v>55695.6</v>
      </c>
      <c r="Y16" s="308">
        <v>55695.6</v>
      </c>
      <c r="Z16" s="261">
        <v>4225</v>
      </c>
      <c r="AA16" s="261">
        <v>4239</v>
      </c>
      <c r="AB16" s="309"/>
      <c r="AC16" s="310">
        <f t="shared" si="17"/>
        <v>154036.20000000001</v>
      </c>
      <c r="AD16" s="310">
        <f t="shared" si="17"/>
        <v>154036.20000000001</v>
      </c>
      <c r="AE16" s="261">
        <v>11224</v>
      </c>
      <c r="AF16" s="261">
        <f>AJ16+AN16+AR16</f>
        <v>11525</v>
      </c>
      <c r="AG16" s="308">
        <v>54464.4</v>
      </c>
      <c r="AH16" s="266">
        <v>54464.4</v>
      </c>
      <c r="AI16" s="261">
        <v>4063</v>
      </c>
      <c r="AJ16" s="261">
        <v>4078</v>
      </c>
      <c r="AK16" s="308">
        <v>46571.199999999997</v>
      </c>
      <c r="AL16" s="266">
        <v>46571.199999999997</v>
      </c>
      <c r="AM16" s="261">
        <v>3538</v>
      </c>
      <c r="AN16" s="261">
        <v>3544</v>
      </c>
      <c r="AO16" s="308">
        <v>53000.6</v>
      </c>
      <c r="AP16" s="266">
        <v>53000.6</v>
      </c>
      <c r="AQ16" s="261">
        <v>3888</v>
      </c>
      <c r="AR16" s="261">
        <v>3903</v>
      </c>
      <c r="AS16" s="309"/>
      <c r="AT16" s="310">
        <f t="shared" si="18"/>
        <v>180433.2</v>
      </c>
      <c r="AU16" s="310">
        <f t="shared" si="18"/>
        <v>180433.2</v>
      </c>
      <c r="AV16" s="261">
        <v>13303</v>
      </c>
      <c r="AW16" s="261">
        <f t="shared" si="19"/>
        <v>13629</v>
      </c>
      <c r="AX16" s="308">
        <v>55772.2</v>
      </c>
      <c r="AY16" s="266">
        <v>55772.2</v>
      </c>
      <c r="AZ16" s="261">
        <v>4173</v>
      </c>
      <c r="BA16" s="261">
        <v>4184</v>
      </c>
      <c r="BB16" s="308">
        <v>62738.8</v>
      </c>
      <c r="BC16" s="266">
        <v>62738.8</v>
      </c>
      <c r="BD16" s="261">
        <v>4668</v>
      </c>
      <c r="BE16" s="261">
        <v>4682</v>
      </c>
      <c r="BF16" s="308">
        <v>61922.2</v>
      </c>
      <c r="BG16" s="266">
        <v>61922.2</v>
      </c>
      <c r="BH16" s="261">
        <v>4747</v>
      </c>
      <c r="BI16" s="261">
        <v>4763</v>
      </c>
      <c r="BJ16" s="309"/>
      <c r="BK16" s="310">
        <f t="shared" si="20"/>
        <v>177662.6</v>
      </c>
      <c r="BL16" s="310">
        <f t="shared" si="20"/>
        <v>177662.6</v>
      </c>
      <c r="BM16" s="261">
        <v>13134</v>
      </c>
      <c r="BN16" s="261">
        <f>BR16+BV16+BZ16</f>
        <v>13455</v>
      </c>
      <c r="BO16" s="266">
        <v>58569.4</v>
      </c>
      <c r="BP16" s="266">
        <v>58569.4</v>
      </c>
      <c r="BQ16" s="262">
        <v>4374</v>
      </c>
      <c r="BR16" s="262">
        <v>4393</v>
      </c>
      <c r="BS16" s="266">
        <v>64284.2</v>
      </c>
      <c r="BT16" s="266">
        <v>64284.2</v>
      </c>
      <c r="BU16" s="262">
        <v>4963</v>
      </c>
      <c r="BV16" s="262">
        <v>4977</v>
      </c>
      <c r="BW16" s="266">
        <v>54809</v>
      </c>
      <c r="BX16" s="266">
        <v>54809</v>
      </c>
      <c r="BY16" s="262">
        <v>4071</v>
      </c>
      <c r="BZ16" s="262">
        <v>4085</v>
      </c>
      <c r="CA16" s="305"/>
    </row>
    <row r="17" spans="1:79" s="313" customFormat="1" ht="42" customHeight="1" x14ac:dyDescent="0.25">
      <c r="A17" s="311"/>
      <c r="B17" s="268" t="s">
        <v>464</v>
      </c>
      <c r="C17" s="266"/>
      <c r="D17" s="266"/>
      <c r="E17" s="266">
        <v>19100</v>
      </c>
      <c r="F17" s="308"/>
      <c r="G17" s="308">
        <f t="shared" si="15"/>
        <v>0</v>
      </c>
      <c r="H17" s="308">
        <f t="shared" si="15"/>
        <v>19045.600000000002</v>
      </c>
      <c r="I17" s="261"/>
      <c r="J17" s="261"/>
      <c r="K17" s="309"/>
      <c r="L17" s="310">
        <f t="shared" si="16"/>
        <v>0</v>
      </c>
      <c r="M17" s="310">
        <f t="shared" si="16"/>
        <v>1394.86</v>
      </c>
      <c r="N17" s="261"/>
      <c r="O17" s="261"/>
      <c r="P17" s="308"/>
      <c r="Q17" s="308"/>
      <c r="R17" s="261"/>
      <c r="S17" s="261"/>
      <c r="T17" s="308"/>
      <c r="U17" s="308">
        <f>1394.86</f>
        <v>1394.86</v>
      </c>
      <c r="V17" s="261"/>
      <c r="W17" s="261"/>
      <c r="X17" s="308"/>
      <c r="Y17" s="308"/>
      <c r="Z17" s="261"/>
      <c r="AA17" s="261"/>
      <c r="AB17" s="309"/>
      <c r="AC17" s="310">
        <f t="shared" si="17"/>
        <v>0</v>
      </c>
      <c r="AD17" s="310">
        <f t="shared" si="17"/>
        <v>1394.86</v>
      </c>
      <c r="AE17" s="261"/>
      <c r="AF17" s="261"/>
      <c r="AG17" s="308"/>
      <c r="AH17" s="266">
        <v>1394.86</v>
      </c>
      <c r="AI17" s="261"/>
      <c r="AJ17" s="261"/>
      <c r="AK17" s="308"/>
      <c r="AL17" s="266"/>
      <c r="AM17" s="261"/>
      <c r="AN17" s="261"/>
      <c r="AO17" s="308"/>
      <c r="AP17" s="266"/>
      <c r="AQ17" s="261"/>
      <c r="AR17" s="261"/>
      <c r="AS17" s="309"/>
      <c r="AT17" s="310">
        <f t="shared" si="18"/>
        <v>0</v>
      </c>
      <c r="AU17" s="310">
        <f t="shared" si="18"/>
        <v>16255.880000000001</v>
      </c>
      <c r="AV17" s="261"/>
      <c r="AW17" s="261">
        <f t="shared" si="19"/>
        <v>0</v>
      </c>
      <c r="AX17" s="308"/>
      <c r="AY17" s="266"/>
      <c r="AZ17" s="261"/>
      <c r="BA17" s="261"/>
      <c r="BB17" s="308"/>
      <c r="BC17" s="266">
        <f>11250</f>
        <v>11250</v>
      </c>
      <c r="BD17" s="261"/>
      <c r="BE17" s="261"/>
      <c r="BF17" s="308"/>
      <c r="BG17" s="266">
        <f>5005.88</f>
        <v>5005.88</v>
      </c>
      <c r="BH17" s="261"/>
      <c r="BI17" s="261"/>
      <c r="BJ17" s="309"/>
      <c r="BK17" s="310">
        <f t="shared" si="20"/>
        <v>0</v>
      </c>
      <c r="BL17" s="310">
        <f t="shared" si="20"/>
        <v>0</v>
      </c>
      <c r="BM17" s="261"/>
      <c r="BN17" s="261"/>
      <c r="BO17" s="266"/>
      <c r="BP17" s="266"/>
      <c r="BQ17" s="262"/>
      <c r="BR17" s="262"/>
      <c r="BS17" s="266"/>
      <c r="BT17" s="266"/>
      <c r="BU17" s="262"/>
      <c r="BV17" s="262"/>
      <c r="BW17" s="266"/>
      <c r="BX17" s="266"/>
      <c r="BY17" s="262"/>
      <c r="BZ17" s="262"/>
      <c r="CA17" s="305"/>
    </row>
    <row r="18" spans="1:79" s="313" customFormat="1" ht="42" customHeight="1" x14ac:dyDescent="0.25">
      <c r="A18" s="311"/>
      <c r="B18" s="268" t="s">
        <v>465</v>
      </c>
      <c r="C18" s="266"/>
      <c r="D18" s="266"/>
      <c r="E18" s="266">
        <v>54000</v>
      </c>
      <c r="F18" s="308"/>
      <c r="G18" s="308">
        <f t="shared" si="15"/>
        <v>0</v>
      </c>
      <c r="H18" s="308">
        <f t="shared" si="15"/>
        <v>54000</v>
      </c>
      <c r="I18" s="261"/>
      <c r="J18" s="261"/>
      <c r="K18" s="309"/>
      <c r="L18" s="310">
        <f t="shared" si="16"/>
        <v>0</v>
      </c>
      <c r="M18" s="310">
        <f t="shared" si="16"/>
        <v>13500</v>
      </c>
      <c r="N18" s="261"/>
      <c r="O18" s="261"/>
      <c r="P18" s="308"/>
      <c r="Q18" s="308">
        <v>4500</v>
      </c>
      <c r="R18" s="261"/>
      <c r="S18" s="261"/>
      <c r="T18" s="308"/>
      <c r="U18" s="308">
        <v>4500</v>
      </c>
      <c r="V18" s="261"/>
      <c r="W18" s="261"/>
      <c r="X18" s="308"/>
      <c r="Y18" s="308">
        <v>4500</v>
      </c>
      <c r="Z18" s="261"/>
      <c r="AA18" s="261"/>
      <c r="AB18" s="309"/>
      <c r="AC18" s="310">
        <f t="shared" si="17"/>
        <v>0</v>
      </c>
      <c r="AD18" s="310">
        <f t="shared" si="17"/>
        <v>13500</v>
      </c>
      <c r="AE18" s="261"/>
      <c r="AF18" s="261"/>
      <c r="AG18" s="308"/>
      <c r="AH18" s="266">
        <v>4500</v>
      </c>
      <c r="AI18" s="261"/>
      <c r="AJ18" s="261"/>
      <c r="AK18" s="308"/>
      <c r="AL18" s="266">
        <v>4500</v>
      </c>
      <c r="AM18" s="261"/>
      <c r="AN18" s="261"/>
      <c r="AO18" s="308"/>
      <c r="AP18" s="266">
        <v>4500</v>
      </c>
      <c r="AQ18" s="261"/>
      <c r="AR18" s="261"/>
      <c r="AS18" s="309"/>
      <c r="AT18" s="310">
        <f t="shared" si="18"/>
        <v>0</v>
      </c>
      <c r="AU18" s="310">
        <f t="shared" si="18"/>
        <v>13500</v>
      </c>
      <c r="AV18" s="261"/>
      <c r="AW18" s="261">
        <f t="shared" si="19"/>
        <v>0</v>
      </c>
      <c r="AX18" s="308"/>
      <c r="AY18" s="266">
        <v>4500</v>
      </c>
      <c r="AZ18" s="261"/>
      <c r="BA18" s="261"/>
      <c r="BB18" s="308"/>
      <c r="BC18" s="266">
        <v>4500</v>
      </c>
      <c r="BD18" s="261"/>
      <c r="BE18" s="261"/>
      <c r="BF18" s="308"/>
      <c r="BG18" s="266">
        <v>4500</v>
      </c>
      <c r="BH18" s="261"/>
      <c r="BI18" s="261"/>
      <c r="BJ18" s="309"/>
      <c r="BK18" s="310">
        <f t="shared" si="20"/>
        <v>0</v>
      </c>
      <c r="BL18" s="310">
        <f t="shared" si="20"/>
        <v>13500</v>
      </c>
      <c r="BM18" s="261"/>
      <c r="BN18" s="261"/>
      <c r="BO18" s="266"/>
      <c r="BP18" s="266">
        <v>4500</v>
      </c>
      <c r="BQ18" s="262"/>
      <c r="BR18" s="262"/>
      <c r="BS18" s="266"/>
      <c r="BT18" s="266">
        <v>4500</v>
      </c>
      <c r="BU18" s="262"/>
      <c r="BV18" s="262"/>
      <c r="BW18" s="266"/>
      <c r="BX18" s="266">
        <v>4500</v>
      </c>
      <c r="BY18" s="262"/>
      <c r="BZ18" s="262"/>
      <c r="CA18" s="305"/>
    </row>
    <row r="19" spans="1:79" s="313" customFormat="1" ht="42" customHeight="1" x14ac:dyDescent="0.25">
      <c r="A19" s="311"/>
      <c r="B19" s="268" t="s">
        <v>466</v>
      </c>
      <c r="C19" s="266"/>
      <c r="D19" s="266"/>
      <c r="E19" s="266">
        <v>0</v>
      </c>
      <c r="F19" s="308"/>
      <c r="G19" s="308">
        <f t="shared" si="15"/>
        <v>0</v>
      </c>
      <c r="H19" s="308">
        <f t="shared" si="15"/>
        <v>0</v>
      </c>
      <c r="I19" s="261"/>
      <c r="J19" s="261"/>
      <c r="K19" s="309"/>
      <c r="L19" s="310">
        <f t="shared" si="16"/>
        <v>0</v>
      </c>
      <c r="M19" s="310">
        <f t="shared" si="16"/>
        <v>0</v>
      </c>
      <c r="N19" s="261"/>
      <c r="O19" s="261"/>
      <c r="P19" s="308"/>
      <c r="Q19" s="308"/>
      <c r="R19" s="261"/>
      <c r="S19" s="261"/>
      <c r="T19" s="308"/>
      <c r="U19" s="308"/>
      <c r="V19" s="261"/>
      <c r="W19" s="261"/>
      <c r="X19" s="308"/>
      <c r="Y19" s="308"/>
      <c r="Z19" s="261"/>
      <c r="AA19" s="261"/>
      <c r="AB19" s="309"/>
      <c r="AC19" s="310">
        <f t="shared" si="17"/>
        <v>0</v>
      </c>
      <c r="AD19" s="310">
        <f t="shared" si="17"/>
        <v>0</v>
      </c>
      <c r="AE19" s="261"/>
      <c r="AF19" s="261"/>
      <c r="AG19" s="308"/>
      <c r="AH19" s="266"/>
      <c r="AI19" s="261"/>
      <c r="AJ19" s="261"/>
      <c r="AK19" s="308"/>
      <c r="AL19" s="266"/>
      <c r="AM19" s="261"/>
      <c r="AN19" s="261"/>
      <c r="AO19" s="308"/>
      <c r="AP19" s="266"/>
      <c r="AQ19" s="261"/>
      <c r="AR19" s="261"/>
      <c r="AS19" s="309"/>
      <c r="AT19" s="310">
        <f t="shared" si="18"/>
        <v>0</v>
      </c>
      <c r="AU19" s="310">
        <f t="shared" si="18"/>
        <v>0</v>
      </c>
      <c r="AV19" s="261"/>
      <c r="AW19" s="261">
        <f t="shared" si="19"/>
        <v>0</v>
      </c>
      <c r="AX19" s="308"/>
      <c r="AY19" s="266"/>
      <c r="AZ19" s="261"/>
      <c r="BA19" s="261"/>
      <c r="BB19" s="308"/>
      <c r="BC19" s="266"/>
      <c r="BD19" s="261"/>
      <c r="BE19" s="261"/>
      <c r="BF19" s="308"/>
      <c r="BG19" s="266"/>
      <c r="BH19" s="261"/>
      <c r="BI19" s="261"/>
      <c r="BJ19" s="309"/>
      <c r="BK19" s="310">
        <f t="shared" si="20"/>
        <v>0</v>
      </c>
      <c r="BL19" s="310">
        <f t="shared" si="20"/>
        <v>0</v>
      </c>
      <c r="BM19" s="261"/>
      <c r="BN19" s="261"/>
      <c r="BO19" s="266"/>
      <c r="BP19" s="266"/>
      <c r="BQ19" s="262"/>
      <c r="BR19" s="262"/>
      <c r="BS19" s="266"/>
      <c r="BT19" s="266"/>
      <c r="BU19" s="262"/>
      <c r="BV19" s="262"/>
      <c r="BW19" s="266"/>
      <c r="BX19" s="266"/>
      <c r="BY19" s="262"/>
      <c r="BZ19" s="262"/>
      <c r="CA19" s="305"/>
    </row>
    <row r="20" spans="1:79" s="306" customFormat="1" ht="42" customHeight="1" x14ac:dyDescent="0.2">
      <c r="A20" s="300" t="s">
        <v>366</v>
      </c>
      <c r="B20" s="301" t="s">
        <v>367</v>
      </c>
      <c r="C20" s="267">
        <v>9200000</v>
      </c>
      <c r="D20" s="267">
        <v>8457200</v>
      </c>
      <c r="E20" s="267">
        <f>SUM(E21:E28)</f>
        <v>8457200</v>
      </c>
      <c r="F20" s="303">
        <f>K20+AB20+AS20+BJ20</f>
        <v>8457200</v>
      </c>
      <c r="G20" s="304">
        <f>SUM(G21:G28)</f>
        <v>7596034.2399999993</v>
      </c>
      <c r="H20" s="304">
        <f>SUM(H21:H28)</f>
        <v>8455994.0099999998</v>
      </c>
      <c r="I20" s="258">
        <f>SUM(I21:I28)</f>
        <v>12753</v>
      </c>
      <c r="J20" s="258">
        <f>SUM(J21:J28)</f>
        <v>141427</v>
      </c>
      <c r="K20" s="267">
        <v>2185300</v>
      </c>
      <c r="L20" s="304">
        <f t="shared" ref="L20:AA20" si="21">SUM(L21:L28)</f>
        <v>1521608.57</v>
      </c>
      <c r="M20" s="304">
        <f t="shared" si="21"/>
        <v>1791927.3800000001</v>
      </c>
      <c r="N20" s="258">
        <f t="shared" si="21"/>
        <v>7101</v>
      </c>
      <c r="O20" s="258">
        <f t="shared" si="21"/>
        <v>29590</v>
      </c>
      <c r="P20" s="304">
        <f t="shared" si="21"/>
        <v>500492.72</v>
      </c>
      <c r="Q20" s="304">
        <f t="shared" si="21"/>
        <v>558026.3899999999</v>
      </c>
      <c r="R20" s="258">
        <f t="shared" si="21"/>
        <v>5894</v>
      </c>
      <c r="S20" s="258">
        <f t="shared" si="21"/>
        <v>9671</v>
      </c>
      <c r="T20" s="304">
        <f t="shared" si="21"/>
        <v>506814.75</v>
      </c>
      <c r="U20" s="304">
        <f t="shared" si="21"/>
        <v>509814.75</v>
      </c>
      <c r="V20" s="258">
        <f t="shared" si="21"/>
        <v>6031</v>
      </c>
      <c r="W20" s="258">
        <f t="shared" si="21"/>
        <v>9839</v>
      </c>
      <c r="X20" s="304">
        <f t="shared" si="21"/>
        <v>514301.1</v>
      </c>
      <c r="Y20" s="304">
        <f t="shared" si="21"/>
        <v>724086.23999999987</v>
      </c>
      <c r="Z20" s="258">
        <f t="shared" si="21"/>
        <v>6182</v>
      </c>
      <c r="AA20" s="258">
        <f t="shared" si="21"/>
        <v>10080</v>
      </c>
      <c r="AB20" s="267">
        <v>2492500</v>
      </c>
      <c r="AC20" s="304">
        <f t="shared" ref="AC20:AR20" si="22">SUM(AC21:AC28)</f>
        <v>1920089.72</v>
      </c>
      <c r="AD20" s="304">
        <f t="shared" si="22"/>
        <v>2150106.96</v>
      </c>
      <c r="AE20" s="258">
        <f t="shared" si="22"/>
        <v>8155</v>
      </c>
      <c r="AF20" s="258">
        <f t="shared" si="22"/>
        <v>35583</v>
      </c>
      <c r="AG20" s="304">
        <f t="shared" si="22"/>
        <v>533460.61</v>
      </c>
      <c r="AH20" s="267">
        <f>SUM(AH21:AH28)</f>
        <v>546460.61</v>
      </c>
      <c r="AI20" s="258">
        <f t="shared" si="22"/>
        <v>6505</v>
      </c>
      <c r="AJ20" s="258">
        <f t="shared" si="22"/>
        <v>11448</v>
      </c>
      <c r="AK20" s="304">
        <f t="shared" si="22"/>
        <v>690834.58</v>
      </c>
      <c r="AL20" s="267">
        <f>SUM(AL21:AL28)</f>
        <v>781354.15999999992</v>
      </c>
      <c r="AM20" s="258">
        <f t="shared" si="22"/>
        <v>6737</v>
      </c>
      <c r="AN20" s="258">
        <f t="shared" si="22"/>
        <v>11825</v>
      </c>
      <c r="AO20" s="304">
        <f>SUM(AO21:AO28)</f>
        <v>695794.53</v>
      </c>
      <c r="AP20" s="267">
        <f>SUM(AP21:AP28)</f>
        <v>822292.19000000006</v>
      </c>
      <c r="AQ20" s="258">
        <f t="shared" si="22"/>
        <v>7147</v>
      </c>
      <c r="AR20" s="258">
        <f t="shared" si="22"/>
        <v>12310</v>
      </c>
      <c r="AS20" s="267">
        <v>2107500</v>
      </c>
      <c r="AT20" s="304">
        <f>SUM(AT21:AT28)</f>
        <v>2083937.8199999998</v>
      </c>
      <c r="AU20" s="304">
        <f t="shared" ref="AU20:BI20" si="23">SUM(AU21:AU28)</f>
        <v>1455496.46</v>
      </c>
      <c r="AV20" s="258">
        <f t="shared" si="23"/>
        <v>8825</v>
      </c>
      <c r="AW20" s="258">
        <f t="shared" si="23"/>
        <v>37636</v>
      </c>
      <c r="AX20" s="304">
        <f t="shared" si="23"/>
        <v>695816.07</v>
      </c>
      <c r="AY20" s="267">
        <f>SUM(AY21:AY28)</f>
        <v>698816.07</v>
      </c>
      <c r="AZ20" s="258">
        <f t="shared" si="23"/>
        <v>7311</v>
      </c>
      <c r="BA20" s="258">
        <f t="shared" si="23"/>
        <v>12607</v>
      </c>
      <c r="BB20" s="304">
        <f t="shared" si="23"/>
        <v>695880.9</v>
      </c>
      <c r="BC20" s="267">
        <f>SUM(BC21:BC28)</f>
        <v>699280.9</v>
      </c>
      <c r="BD20" s="258">
        <f t="shared" si="23"/>
        <v>7482</v>
      </c>
      <c r="BE20" s="258">
        <f t="shared" si="23"/>
        <v>12451</v>
      </c>
      <c r="BF20" s="304">
        <f t="shared" si="23"/>
        <v>692240.85</v>
      </c>
      <c r="BG20" s="267">
        <f>SUM(BG21:BG28)</f>
        <v>57399.49</v>
      </c>
      <c r="BH20" s="258">
        <f t="shared" si="23"/>
        <v>7584</v>
      </c>
      <c r="BI20" s="258">
        <f t="shared" si="23"/>
        <v>12578</v>
      </c>
      <c r="BJ20" s="267">
        <v>1671900</v>
      </c>
      <c r="BK20" s="304">
        <f t="shared" ref="BK20:BZ20" si="24">SUM(BK21:BK28)</f>
        <v>2070398.13</v>
      </c>
      <c r="BL20" s="304">
        <f t="shared" si="24"/>
        <v>3058463.21</v>
      </c>
      <c r="BM20" s="258">
        <f t="shared" si="24"/>
        <v>8922</v>
      </c>
      <c r="BN20" s="258">
        <f t="shared" si="24"/>
        <v>38618</v>
      </c>
      <c r="BO20" s="267">
        <f t="shared" si="24"/>
        <v>684494.08000000007</v>
      </c>
      <c r="BP20" s="267">
        <f>SUM(BP21:BP28)</f>
        <v>1315996.76</v>
      </c>
      <c r="BQ20" s="259">
        <f t="shared" si="24"/>
        <v>7716</v>
      </c>
      <c r="BR20" s="259">
        <f t="shared" si="24"/>
        <v>12400</v>
      </c>
      <c r="BS20" s="267">
        <f t="shared" si="24"/>
        <v>696562.98</v>
      </c>
      <c r="BT20" s="267">
        <f>SUM(BT21:BT28)</f>
        <v>709114.65</v>
      </c>
      <c r="BU20" s="259">
        <f t="shared" si="24"/>
        <v>7875</v>
      </c>
      <c r="BV20" s="259">
        <f t="shared" si="24"/>
        <v>13385</v>
      </c>
      <c r="BW20" s="267">
        <f t="shared" si="24"/>
        <v>689341.07000000007</v>
      </c>
      <c r="BX20" s="267">
        <f>SUM(BX21:BX28)</f>
        <v>1033351.8</v>
      </c>
      <c r="BY20" s="259">
        <f t="shared" si="24"/>
        <v>7759</v>
      </c>
      <c r="BZ20" s="259">
        <f t="shared" si="24"/>
        <v>12833</v>
      </c>
      <c r="CA20" s="305"/>
    </row>
    <row r="21" spans="1:79" s="313" customFormat="1" ht="42" customHeight="1" x14ac:dyDescent="0.25">
      <c r="A21" s="311"/>
      <c r="B21" s="268" t="s">
        <v>433</v>
      </c>
      <c r="C21" s="266"/>
      <c r="D21" s="266"/>
      <c r="E21" s="266">
        <v>1300100</v>
      </c>
      <c r="F21" s="308"/>
      <c r="G21" s="308">
        <f t="shared" ref="G21:H28" si="25">L21+AC21+AT21+BK21</f>
        <v>1300043.3399999999</v>
      </c>
      <c r="H21" s="308">
        <f t="shared" si="25"/>
        <v>1300043.3400000001</v>
      </c>
      <c r="I21" s="261">
        <v>773</v>
      </c>
      <c r="J21" s="261">
        <f>O21+AF21+AW21+BN21</f>
        <v>10108</v>
      </c>
      <c r="K21" s="315"/>
      <c r="L21" s="310">
        <f t="shared" ref="L21:M28" si="26">P21+T21+X21</f>
        <v>267902.38</v>
      </c>
      <c r="M21" s="310">
        <f t="shared" si="26"/>
        <v>267902.38</v>
      </c>
      <c r="N21" s="261">
        <v>178</v>
      </c>
      <c r="O21" s="261">
        <f>S21+W21+AA21</f>
        <v>2091</v>
      </c>
      <c r="P21" s="308">
        <v>83504.929999999993</v>
      </c>
      <c r="Q21" s="308">
        <v>83504.929999999993</v>
      </c>
      <c r="R21" s="261">
        <v>64</v>
      </c>
      <c r="S21" s="261">
        <v>651</v>
      </c>
      <c r="T21" s="308">
        <v>87648.09</v>
      </c>
      <c r="U21" s="308">
        <v>87648.09</v>
      </c>
      <c r="V21" s="261">
        <v>66</v>
      </c>
      <c r="W21" s="261">
        <v>700</v>
      </c>
      <c r="X21" s="308">
        <v>96749.36</v>
      </c>
      <c r="Y21" s="308">
        <v>96749.36</v>
      </c>
      <c r="Z21" s="261">
        <v>79</v>
      </c>
      <c r="AA21" s="261">
        <v>740</v>
      </c>
      <c r="AB21" s="315"/>
      <c r="AC21" s="310">
        <f t="shared" ref="AC21:AD28" si="27">AG21+AK21+AO21</f>
        <v>342216.51</v>
      </c>
      <c r="AD21" s="310">
        <f t="shared" si="27"/>
        <v>341816.51</v>
      </c>
      <c r="AE21" s="261">
        <v>231</v>
      </c>
      <c r="AF21" s="261">
        <f>AJ21+AN21+AR21</f>
        <v>2671</v>
      </c>
      <c r="AG21" s="308">
        <v>116659.62</v>
      </c>
      <c r="AH21" s="266">
        <v>116659.62</v>
      </c>
      <c r="AI21" s="261">
        <v>87</v>
      </c>
      <c r="AJ21" s="261">
        <v>911</v>
      </c>
      <c r="AK21" s="308">
        <v>110298.47</v>
      </c>
      <c r="AL21" s="266">
        <v>109898.47</v>
      </c>
      <c r="AM21" s="261">
        <v>76</v>
      </c>
      <c r="AN21" s="261">
        <v>856</v>
      </c>
      <c r="AO21" s="308">
        <v>115258.42</v>
      </c>
      <c r="AP21" s="266">
        <v>115258.42</v>
      </c>
      <c r="AQ21" s="261">
        <v>93</v>
      </c>
      <c r="AR21" s="261">
        <v>904</v>
      </c>
      <c r="AS21" s="315"/>
      <c r="AT21" s="310">
        <f t="shared" ref="AT21:AU28" si="28">AX21+BB21+BF21</f>
        <v>347453.24</v>
      </c>
      <c r="AU21" s="310">
        <f t="shared" si="28"/>
        <v>278264.25</v>
      </c>
      <c r="AV21" s="261">
        <v>223</v>
      </c>
      <c r="AW21" s="261">
        <f t="shared" ref="AW21:AW28" si="29">BA21+BE21+BI21</f>
        <v>2695</v>
      </c>
      <c r="AX21" s="308">
        <v>115279.96</v>
      </c>
      <c r="AY21" s="266">
        <v>115279.96</v>
      </c>
      <c r="AZ21" s="261">
        <v>83</v>
      </c>
      <c r="BA21" s="261">
        <v>906</v>
      </c>
      <c r="BB21" s="308">
        <v>116160.29</v>
      </c>
      <c r="BC21" s="266">
        <v>116560.29</v>
      </c>
      <c r="BD21" s="261">
        <v>86</v>
      </c>
      <c r="BE21" s="261">
        <v>854</v>
      </c>
      <c r="BF21" s="308">
        <v>116012.99</v>
      </c>
      <c r="BG21" s="266">
        <v>46424</v>
      </c>
      <c r="BH21" s="261">
        <v>78</v>
      </c>
      <c r="BI21" s="261">
        <v>935</v>
      </c>
      <c r="BJ21" s="315"/>
      <c r="BK21" s="310">
        <f t="shared" ref="BK21:BL28" si="30">BO21+BS21+BW21</f>
        <v>342471.20999999996</v>
      </c>
      <c r="BL21" s="310">
        <f t="shared" si="30"/>
        <v>412060.20000000007</v>
      </c>
      <c r="BM21" s="261">
        <v>207</v>
      </c>
      <c r="BN21" s="261">
        <f>BR21+BV21+BZ21</f>
        <v>2651</v>
      </c>
      <c r="BO21" s="266">
        <v>109521.3</v>
      </c>
      <c r="BP21" s="266">
        <v>179110.29</v>
      </c>
      <c r="BQ21" s="262">
        <v>74</v>
      </c>
      <c r="BR21" s="262">
        <v>813</v>
      </c>
      <c r="BS21" s="266">
        <v>116283.25</v>
      </c>
      <c r="BT21" s="266">
        <v>116283.25</v>
      </c>
      <c r="BU21" s="262">
        <v>77</v>
      </c>
      <c r="BV21" s="262">
        <v>861</v>
      </c>
      <c r="BW21" s="266">
        <v>116666.66</v>
      </c>
      <c r="BX21" s="266">
        <v>116666.66</v>
      </c>
      <c r="BY21" s="262">
        <v>81</v>
      </c>
      <c r="BZ21" s="262">
        <v>977</v>
      </c>
      <c r="CA21" s="305"/>
    </row>
    <row r="22" spans="1:79" s="313" customFormat="1" ht="42" customHeight="1" x14ac:dyDescent="0.25">
      <c r="A22" s="311"/>
      <c r="B22" s="268" t="s">
        <v>434</v>
      </c>
      <c r="C22" s="266"/>
      <c r="D22" s="266"/>
      <c r="E22" s="266">
        <f>5601600-239000</f>
        <v>5362600</v>
      </c>
      <c r="F22" s="308"/>
      <c r="G22" s="308">
        <f t="shared" si="25"/>
        <v>5362575.5999999996</v>
      </c>
      <c r="H22" s="308">
        <f t="shared" si="25"/>
        <v>5362575.5999999996</v>
      </c>
      <c r="I22" s="261">
        <v>10656</v>
      </c>
      <c r="J22" s="261">
        <f>O22+AF22+AW22+BN22</f>
        <v>81207</v>
      </c>
      <c r="K22" s="315"/>
      <c r="L22" s="310">
        <f t="shared" si="26"/>
        <v>1077499.98</v>
      </c>
      <c r="M22" s="310">
        <f t="shared" si="26"/>
        <v>1077499.98</v>
      </c>
      <c r="N22" s="261">
        <v>6547</v>
      </c>
      <c r="O22" s="261">
        <f>S22+W22+AA22</f>
        <v>18081</v>
      </c>
      <c r="P22" s="308">
        <v>359166.66</v>
      </c>
      <c r="Q22" s="308">
        <v>359166.66</v>
      </c>
      <c r="R22" s="261">
        <v>5647</v>
      </c>
      <c r="S22" s="261">
        <v>5879</v>
      </c>
      <c r="T22" s="308">
        <v>359166.66</v>
      </c>
      <c r="U22" s="308">
        <v>359166.66</v>
      </c>
      <c r="V22" s="261">
        <v>5785</v>
      </c>
      <c r="W22" s="261">
        <v>6025</v>
      </c>
      <c r="X22" s="308">
        <v>359166.66</v>
      </c>
      <c r="Y22" s="308">
        <v>359166.66</v>
      </c>
      <c r="Z22" s="261">
        <v>5902</v>
      </c>
      <c r="AA22" s="261">
        <v>6177</v>
      </c>
      <c r="AB22" s="315"/>
      <c r="AC22" s="310">
        <f t="shared" si="27"/>
        <v>1340643.8999999999</v>
      </c>
      <c r="AD22" s="310">
        <f t="shared" si="27"/>
        <v>1340643.8999999999</v>
      </c>
      <c r="AE22" s="261">
        <v>7387</v>
      </c>
      <c r="AF22" s="261">
        <f>AJ22+AN22+AR22</f>
        <v>19555</v>
      </c>
      <c r="AG22" s="308">
        <v>359166.66</v>
      </c>
      <c r="AH22" s="266">
        <v>359166.66</v>
      </c>
      <c r="AI22" s="261">
        <v>6192</v>
      </c>
      <c r="AJ22" s="261">
        <v>6468</v>
      </c>
      <c r="AK22" s="308">
        <v>490738.62</v>
      </c>
      <c r="AL22" s="266">
        <v>490738.62</v>
      </c>
      <c r="AM22" s="261">
        <v>6341</v>
      </c>
      <c r="AN22" s="261">
        <v>6349</v>
      </c>
      <c r="AO22" s="308">
        <v>490738.62</v>
      </c>
      <c r="AP22" s="266">
        <v>490738.62</v>
      </c>
      <c r="AQ22" s="261">
        <v>6724</v>
      </c>
      <c r="AR22" s="261">
        <v>6738</v>
      </c>
      <c r="AS22" s="315"/>
      <c r="AT22" s="310">
        <f>AX22+BB22+BF22</f>
        <v>1472215.8599999999</v>
      </c>
      <c r="AU22" s="310">
        <f t="shared" si="28"/>
        <v>981477.24</v>
      </c>
      <c r="AV22" s="261">
        <v>8105</v>
      </c>
      <c r="AW22" s="261">
        <f t="shared" si="29"/>
        <v>21287</v>
      </c>
      <c r="AX22" s="308">
        <v>490738.62</v>
      </c>
      <c r="AY22" s="266">
        <v>490738.62</v>
      </c>
      <c r="AZ22" s="261">
        <v>6917</v>
      </c>
      <c r="BA22" s="261">
        <v>6927</v>
      </c>
      <c r="BB22" s="308">
        <v>490738.62</v>
      </c>
      <c r="BC22" s="266">
        <v>490738.62</v>
      </c>
      <c r="BD22" s="261">
        <v>7102</v>
      </c>
      <c r="BE22" s="261">
        <v>7106</v>
      </c>
      <c r="BF22" s="308">
        <v>490738.62</v>
      </c>
      <c r="BG22" s="266"/>
      <c r="BH22" s="261">
        <v>7230</v>
      </c>
      <c r="BI22" s="261">
        <v>7254</v>
      </c>
      <c r="BJ22" s="315"/>
      <c r="BK22" s="310">
        <f t="shared" si="30"/>
        <v>1472215.8599999999</v>
      </c>
      <c r="BL22" s="310">
        <f t="shared" si="30"/>
        <v>1962954.48</v>
      </c>
      <c r="BM22" s="261">
        <v>8258</v>
      </c>
      <c r="BN22" s="261">
        <f>BR22+BV22+BZ22</f>
        <v>22284</v>
      </c>
      <c r="BO22" s="266">
        <v>490738.62</v>
      </c>
      <c r="BP22" s="266">
        <v>981477.24</v>
      </c>
      <c r="BQ22" s="262">
        <v>7361</v>
      </c>
      <c r="BR22" s="262">
        <v>7367</v>
      </c>
      <c r="BS22" s="266">
        <v>490738.62</v>
      </c>
      <c r="BT22" s="266">
        <v>490738.62</v>
      </c>
      <c r="BU22" s="262">
        <v>7494</v>
      </c>
      <c r="BV22" s="262">
        <v>7500</v>
      </c>
      <c r="BW22" s="266">
        <v>490738.62</v>
      </c>
      <c r="BX22" s="266">
        <v>490738.62</v>
      </c>
      <c r="BY22" s="262">
        <v>7409</v>
      </c>
      <c r="BZ22" s="262">
        <v>7417</v>
      </c>
      <c r="CA22" s="305"/>
    </row>
    <row r="23" spans="1:79" s="313" customFormat="1" ht="42" customHeight="1" x14ac:dyDescent="0.25">
      <c r="A23" s="311"/>
      <c r="B23" s="268" t="s">
        <v>467</v>
      </c>
      <c r="C23" s="266"/>
      <c r="D23" s="266"/>
      <c r="E23" s="266">
        <v>239000</v>
      </c>
      <c r="F23" s="308"/>
      <c r="G23" s="308">
        <f t="shared" si="25"/>
        <v>238979.92</v>
      </c>
      <c r="H23" s="308">
        <f t="shared" si="25"/>
        <v>238979.92</v>
      </c>
      <c r="I23" s="261">
        <v>109</v>
      </c>
      <c r="J23" s="261">
        <f>O23+AF23+AW23+BN23</f>
        <v>4361</v>
      </c>
      <c r="K23" s="315"/>
      <c r="L23" s="310">
        <f t="shared" si="26"/>
        <v>0</v>
      </c>
      <c r="M23" s="310">
        <f t="shared" si="26"/>
        <v>0</v>
      </c>
      <c r="N23" s="261">
        <v>0</v>
      </c>
      <c r="O23" s="261">
        <f>S23+W23+AA23</f>
        <v>0</v>
      </c>
      <c r="P23" s="308">
        <v>0</v>
      </c>
      <c r="Q23" s="308"/>
      <c r="R23" s="261">
        <v>0</v>
      </c>
      <c r="S23" s="261">
        <v>0</v>
      </c>
      <c r="T23" s="308">
        <v>0</v>
      </c>
      <c r="U23" s="308"/>
      <c r="V23" s="261">
        <v>0</v>
      </c>
      <c r="W23" s="261">
        <v>0</v>
      </c>
      <c r="X23" s="308">
        <v>0</v>
      </c>
      <c r="Y23" s="308"/>
      <c r="Z23" s="261">
        <v>0</v>
      </c>
      <c r="AA23" s="261">
        <v>0</v>
      </c>
      <c r="AB23" s="315"/>
      <c r="AC23" s="310">
        <f t="shared" si="27"/>
        <v>59744.98</v>
      </c>
      <c r="AD23" s="310">
        <f t="shared" si="27"/>
        <v>59744.98</v>
      </c>
      <c r="AE23" s="261">
        <v>94</v>
      </c>
      <c r="AF23" s="261">
        <f>AJ23+AN23+AR23</f>
        <v>1259</v>
      </c>
      <c r="AG23" s="308">
        <v>0</v>
      </c>
      <c r="AH23" s="266"/>
      <c r="AI23" s="261">
        <v>0</v>
      </c>
      <c r="AJ23" s="261">
        <v>0</v>
      </c>
      <c r="AK23" s="308">
        <v>29872.49</v>
      </c>
      <c r="AL23" s="266"/>
      <c r="AM23" s="261">
        <v>91</v>
      </c>
      <c r="AN23" s="261">
        <v>665</v>
      </c>
      <c r="AO23" s="308">
        <v>29872.49</v>
      </c>
      <c r="AP23" s="266">
        <v>59744.98</v>
      </c>
      <c r="AQ23" s="261">
        <v>89</v>
      </c>
      <c r="AR23" s="261">
        <v>594</v>
      </c>
      <c r="AS23" s="315"/>
      <c r="AT23" s="310">
        <f>AX23+BB23+BF23</f>
        <v>89617.47</v>
      </c>
      <c r="AU23" s="310">
        <f>AY23+BC23+BG23</f>
        <v>59744.98</v>
      </c>
      <c r="AV23" s="261">
        <v>76</v>
      </c>
      <c r="AW23" s="261">
        <f t="shared" si="29"/>
        <v>1393</v>
      </c>
      <c r="AX23" s="308">
        <v>29872.49</v>
      </c>
      <c r="AY23" s="266">
        <v>29872.49</v>
      </c>
      <c r="AZ23" s="261">
        <v>73</v>
      </c>
      <c r="BA23" s="261">
        <v>545</v>
      </c>
      <c r="BB23" s="308">
        <v>29872.49</v>
      </c>
      <c r="BC23" s="266">
        <v>29872.49</v>
      </c>
      <c r="BD23" s="261">
        <v>67</v>
      </c>
      <c r="BE23" s="261">
        <v>474</v>
      </c>
      <c r="BF23" s="308">
        <v>29872.49</v>
      </c>
      <c r="BG23" s="266"/>
      <c r="BH23" s="261">
        <v>68</v>
      </c>
      <c r="BI23" s="261">
        <v>374</v>
      </c>
      <c r="BJ23" s="315"/>
      <c r="BK23" s="310">
        <f t="shared" si="30"/>
        <v>89617.47</v>
      </c>
      <c r="BL23" s="310">
        <f t="shared" si="30"/>
        <v>119489.96</v>
      </c>
      <c r="BM23" s="261">
        <v>74</v>
      </c>
      <c r="BN23" s="261">
        <f>BR23+BV23+BZ23</f>
        <v>1709</v>
      </c>
      <c r="BO23" s="266">
        <v>29872.49</v>
      </c>
      <c r="BP23" s="266">
        <v>59744.98</v>
      </c>
      <c r="BQ23" s="262">
        <v>65</v>
      </c>
      <c r="BR23" s="262">
        <v>402</v>
      </c>
      <c r="BS23" s="266">
        <v>29872.49</v>
      </c>
      <c r="BT23" s="266">
        <v>29872.49</v>
      </c>
      <c r="BU23" s="262">
        <v>66</v>
      </c>
      <c r="BV23" s="262">
        <v>557</v>
      </c>
      <c r="BW23" s="266">
        <v>29872.49</v>
      </c>
      <c r="BX23" s="266">
        <v>29872.49</v>
      </c>
      <c r="BY23" s="262">
        <v>65</v>
      </c>
      <c r="BZ23" s="262">
        <v>750</v>
      </c>
      <c r="CA23" s="305"/>
    </row>
    <row r="24" spans="1:79" s="313" customFormat="1" ht="66" customHeight="1" x14ac:dyDescent="0.25">
      <c r="A24" s="311"/>
      <c r="B24" s="260" t="s">
        <v>422</v>
      </c>
      <c r="C24" s="266"/>
      <c r="D24" s="266"/>
      <c r="E24" s="266">
        <v>298400</v>
      </c>
      <c r="F24" s="308"/>
      <c r="G24" s="308">
        <f t="shared" si="25"/>
        <v>298333.33</v>
      </c>
      <c r="H24" s="308">
        <f t="shared" si="25"/>
        <v>298333.33</v>
      </c>
      <c r="I24" s="261">
        <v>822</v>
      </c>
      <c r="J24" s="261">
        <f>O24+AF24+AW24+BN24</f>
        <v>42954</v>
      </c>
      <c r="K24" s="315"/>
      <c r="L24" s="310">
        <f t="shared" si="26"/>
        <v>73333.33</v>
      </c>
      <c r="M24" s="310">
        <f t="shared" si="26"/>
        <v>73333.33</v>
      </c>
      <c r="N24" s="261">
        <v>261</v>
      </c>
      <c r="O24" s="261">
        <f>S24+W24+AA24</f>
        <v>8665</v>
      </c>
      <c r="P24" s="308">
        <v>23333.33</v>
      </c>
      <c r="Q24" s="308">
        <v>23333.33</v>
      </c>
      <c r="R24" s="261">
        <v>146</v>
      </c>
      <c r="S24" s="261">
        <v>2904</v>
      </c>
      <c r="T24" s="308">
        <v>25000</v>
      </c>
      <c r="U24" s="308">
        <v>25000</v>
      </c>
      <c r="V24" s="261">
        <v>135</v>
      </c>
      <c r="W24" s="261">
        <v>2838</v>
      </c>
      <c r="X24" s="308">
        <v>25000</v>
      </c>
      <c r="Y24" s="308">
        <v>25000</v>
      </c>
      <c r="Z24" s="261">
        <v>166</v>
      </c>
      <c r="AA24" s="261">
        <v>2923</v>
      </c>
      <c r="AB24" s="315"/>
      <c r="AC24" s="310">
        <f t="shared" si="27"/>
        <v>75000</v>
      </c>
      <c r="AD24" s="310">
        <f t="shared" si="27"/>
        <v>75000</v>
      </c>
      <c r="AE24" s="261">
        <v>330</v>
      </c>
      <c r="AF24" s="261">
        <f>AJ24+AN24+AR24</f>
        <v>11347</v>
      </c>
      <c r="AG24" s="308">
        <v>25000</v>
      </c>
      <c r="AH24" s="266">
        <v>25000</v>
      </c>
      <c r="AI24" s="261">
        <v>190</v>
      </c>
      <c r="AJ24" s="261">
        <v>3833</v>
      </c>
      <c r="AK24" s="308">
        <v>25000</v>
      </c>
      <c r="AL24" s="266">
        <v>25000</v>
      </c>
      <c r="AM24" s="261">
        <v>189</v>
      </c>
      <c r="AN24" s="261">
        <v>3697</v>
      </c>
      <c r="AO24" s="308">
        <v>25000</v>
      </c>
      <c r="AP24" s="266">
        <v>25000</v>
      </c>
      <c r="AQ24" s="261">
        <v>203</v>
      </c>
      <c r="AR24" s="261">
        <v>3817</v>
      </c>
      <c r="AS24" s="315"/>
      <c r="AT24" s="310">
        <f t="shared" si="28"/>
        <v>75000</v>
      </c>
      <c r="AU24" s="310">
        <f t="shared" si="28"/>
        <v>50000</v>
      </c>
      <c r="AV24" s="261">
        <v>321</v>
      </c>
      <c r="AW24" s="261">
        <f t="shared" si="29"/>
        <v>11594</v>
      </c>
      <c r="AX24" s="308">
        <v>25000</v>
      </c>
      <c r="AY24" s="266">
        <v>25000</v>
      </c>
      <c r="AZ24" s="261">
        <v>202</v>
      </c>
      <c r="BA24" s="261">
        <v>3986</v>
      </c>
      <c r="BB24" s="308">
        <v>25000</v>
      </c>
      <c r="BC24" s="266">
        <v>25000</v>
      </c>
      <c r="BD24" s="261">
        <v>190</v>
      </c>
      <c r="BE24" s="261">
        <v>3787</v>
      </c>
      <c r="BF24" s="308">
        <v>25000</v>
      </c>
      <c r="BG24" s="266"/>
      <c r="BH24" s="261">
        <v>178</v>
      </c>
      <c r="BI24" s="261">
        <v>3821</v>
      </c>
      <c r="BJ24" s="315"/>
      <c r="BK24" s="310">
        <f t="shared" si="30"/>
        <v>75000</v>
      </c>
      <c r="BL24" s="310">
        <f t="shared" si="30"/>
        <v>100000</v>
      </c>
      <c r="BM24" s="261">
        <v>284</v>
      </c>
      <c r="BN24" s="261">
        <f>BR24+BV24+BZ24</f>
        <v>11348</v>
      </c>
      <c r="BO24" s="266">
        <v>25000</v>
      </c>
      <c r="BP24" s="266">
        <v>50000</v>
      </c>
      <c r="BQ24" s="262">
        <v>189</v>
      </c>
      <c r="BR24" s="262">
        <v>3644</v>
      </c>
      <c r="BS24" s="266">
        <v>25000</v>
      </c>
      <c r="BT24" s="266">
        <v>25000</v>
      </c>
      <c r="BU24" s="262">
        <v>200</v>
      </c>
      <c r="BV24" s="262">
        <v>4228</v>
      </c>
      <c r="BW24" s="266">
        <v>25000</v>
      </c>
      <c r="BX24" s="266">
        <v>25000</v>
      </c>
      <c r="BY24" s="262">
        <v>168</v>
      </c>
      <c r="BZ24" s="262">
        <v>3476</v>
      </c>
      <c r="CA24" s="305"/>
    </row>
    <row r="25" spans="1:79" s="313" customFormat="1" ht="42" customHeight="1" x14ac:dyDescent="0.25">
      <c r="A25" s="311"/>
      <c r="B25" s="268" t="s">
        <v>435</v>
      </c>
      <c r="C25" s="266"/>
      <c r="D25" s="266"/>
      <c r="E25" s="266">
        <v>824900</v>
      </c>
      <c r="F25" s="308"/>
      <c r="G25" s="308">
        <f t="shared" si="25"/>
        <v>0</v>
      </c>
      <c r="H25" s="308">
        <f t="shared" si="25"/>
        <v>823926.16999999993</v>
      </c>
      <c r="I25" s="261"/>
      <c r="J25" s="261"/>
      <c r="K25" s="315"/>
      <c r="L25" s="310">
        <f t="shared" si="26"/>
        <v>0</v>
      </c>
      <c r="M25" s="310">
        <f t="shared" si="26"/>
        <v>271318.81</v>
      </c>
      <c r="N25" s="316"/>
      <c r="O25" s="316"/>
      <c r="P25" s="308"/>
      <c r="Q25" s="308">
        <v>54533.67</v>
      </c>
      <c r="R25" s="261"/>
      <c r="S25" s="261"/>
      <c r="T25" s="308"/>
      <c r="U25" s="308"/>
      <c r="V25" s="261"/>
      <c r="W25" s="261"/>
      <c r="X25" s="308"/>
      <c r="Y25" s="308">
        <f>265.74+81921.81+134597.59</f>
        <v>216785.14</v>
      </c>
      <c r="Z25" s="261"/>
      <c r="AA25" s="261"/>
      <c r="AB25" s="315"/>
      <c r="AC25" s="310">
        <f t="shared" si="27"/>
        <v>0</v>
      </c>
      <c r="AD25" s="310">
        <f t="shared" si="27"/>
        <v>211417.24</v>
      </c>
      <c r="AE25" s="316"/>
      <c r="AF25" s="316"/>
      <c r="AG25" s="308"/>
      <c r="AH25" s="266"/>
      <c r="AI25" s="261"/>
      <c r="AJ25" s="261"/>
      <c r="AK25" s="308"/>
      <c r="AL25" s="266">
        <f>127792.07</f>
        <v>127792.07</v>
      </c>
      <c r="AM25" s="261"/>
      <c r="AN25" s="261"/>
      <c r="AO25" s="308"/>
      <c r="AP25" s="266">
        <f>83625.17</f>
        <v>83625.17</v>
      </c>
      <c r="AQ25" s="261"/>
      <c r="AR25" s="261"/>
      <c r="AS25" s="315"/>
      <c r="AT25" s="310">
        <f t="shared" si="28"/>
        <v>0</v>
      </c>
      <c r="AU25" s="310">
        <f t="shared" si="28"/>
        <v>212.99</v>
      </c>
      <c r="AV25" s="316"/>
      <c r="AW25" s="261">
        <f t="shared" si="29"/>
        <v>0</v>
      </c>
      <c r="AX25" s="308"/>
      <c r="AY25" s="266"/>
      <c r="AZ25" s="261"/>
      <c r="BA25" s="261"/>
      <c r="BB25" s="308"/>
      <c r="BD25" s="261"/>
      <c r="BE25" s="261"/>
      <c r="BF25" s="308"/>
      <c r="BG25" s="266">
        <f>212.99</f>
        <v>212.99</v>
      </c>
      <c r="BH25" s="261"/>
      <c r="BI25" s="261"/>
      <c r="BJ25" s="315"/>
      <c r="BK25" s="310">
        <f t="shared" si="30"/>
        <v>0</v>
      </c>
      <c r="BL25" s="310">
        <f t="shared" si="30"/>
        <v>340977.13</v>
      </c>
      <c r="BM25" s="316"/>
      <c r="BN25" s="261"/>
      <c r="BO25" s="266"/>
      <c r="BP25" s="266"/>
      <c r="BQ25" s="262"/>
      <c r="BR25" s="262"/>
      <c r="BS25" s="266"/>
      <c r="BT25" s="266"/>
      <c r="BU25" s="262"/>
      <c r="BV25" s="262"/>
      <c r="BW25" s="266"/>
      <c r="BX25" s="266">
        <f>138980.66+56468+145528.47</f>
        <v>340977.13</v>
      </c>
      <c r="BY25" s="262"/>
      <c r="BZ25" s="262"/>
      <c r="CA25" s="305"/>
    </row>
    <row r="26" spans="1:79" s="313" customFormat="1" ht="42" customHeight="1" x14ac:dyDescent="0.25">
      <c r="A26" s="311"/>
      <c r="B26" s="268" t="s">
        <v>436</v>
      </c>
      <c r="C26" s="266"/>
      <c r="D26" s="266"/>
      <c r="E26" s="266">
        <v>36000</v>
      </c>
      <c r="F26" s="308"/>
      <c r="G26" s="308">
        <f t="shared" si="25"/>
        <v>0</v>
      </c>
      <c r="H26" s="308">
        <f t="shared" si="25"/>
        <v>36000</v>
      </c>
      <c r="I26" s="261"/>
      <c r="J26" s="261"/>
      <c r="K26" s="315"/>
      <c r="L26" s="310">
        <f t="shared" si="26"/>
        <v>0</v>
      </c>
      <c r="M26" s="310">
        <f t="shared" si="26"/>
        <v>9000</v>
      </c>
      <c r="N26" s="316"/>
      <c r="O26" s="316"/>
      <c r="P26" s="308"/>
      <c r="Q26" s="308">
        <v>3000</v>
      </c>
      <c r="R26" s="261"/>
      <c r="S26" s="261"/>
      <c r="T26" s="308"/>
      <c r="U26" s="308">
        <v>3000</v>
      </c>
      <c r="V26" s="261"/>
      <c r="W26" s="261"/>
      <c r="X26" s="308"/>
      <c r="Y26" s="308">
        <v>3000</v>
      </c>
      <c r="Z26" s="261"/>
      <c r="AA26" s="261"/>
      <c r="AB26" s="315"/>
      <c r="AC26" s="310">
        <f t="shared" si="27"/>
        <v>0</v>
      </c>
      <c r="AD26" s="310">
        <f t="shared" si="27"/>
        <v>9000</v>
      </c>
      <c r="AE26" s="316"/>
      <c r="AF26" s="316"/>
      <c r="AG26" s="308"/>
      <c r="AH26" s="266">
        <v>3000</v>
      </c>
      <c r="AI26" s="261"/>
      <c r="AJ26" s="261"/>
      <c r="AK26" s="308"/>
      <c r="AL26" s="266">
        <v>3000</v>
      </c>
      <c r="AM26" s="261"/>
      <c r="AN26" s="261"/>
      <c r="AO26" s="308"/>
      <c r="AP26" s="266">
        <v>3000</v>
      </c>
      <c r="AQ26" s="261"/>
      <c r="AR26" s="261"/>
      <c r="AS26" s="315"/>
      <c r="AT26" s="310">
        <f t="shared" si="28"/>
        <v>0</v>
      </c>
      <c r="AU26" s="310">
        <f t="shared" si="28"/>
        <v>9000</v>
      </c>
      <c r="AV26" s="316"/>
      <c r="AW26" s="261">
        <f t="shared" si="29"/>
        <v>0</v>
      </c>
      <c r="AX26" s="308"/>
      <c r="AY26" s="266">
        <v>3000</v>
      </c>
      <c r="AZ26" s="261"/>
      <c r="BA26" s="261"/>
      <c r="BB26" s="308"/>
      <c r="BC26" s="266">
        <v>3000</v>
      </c>
      <c r="BD26" s="261"/>
      <c r="BE26" s="261"/>
      <c r="BF26" s="308"/>
      <c r="BG26" s="266">
        <v>3000</v>
      </c>
      <c r="BH26" s="261"/>
      <c r="BI26" s="261"/>
      <c r="BJ26" s="315"/>
      <c r="BK26" s="310">
        <f t="shared" si="30"/>
        <v>0</v>
      </c>
      <c r="BL26" s="310">
        <f t="shared" si="30"/>
        <v>9000</v>
      </c>
      <c r="BM26" s="316"/>
      <c r="BN26" s="261"/>
      <c r="BO26" s="266"/>
      <c r="BP26" s="266">
        <v>3000</v>
      </c>
      <c r="BQ26" s="262"/>
      <c r="BR26" s="262"/>
      <c r="BS26" s="266"/>
      <c r="BT26" s="266">
        <v>3000</v>
      </c>
      <c r="BU26" s="262"/>
      <c r="BV26" s="262"/>
      <c r="BW26" s="266"/>
      <c r="BX26" s="266">
        <v>3000</v>
      </c>
      <c r="BY26" s="262"/>
      <c r="BZ26" s="262"/>
      <c r="CA26" s="305"/>
    </row>
    <row r="27" spans="1:79" s="313" customFormat="1" ht="42" customHeight="1" x14ac:dyDescent="0.25">
      <c r="A27" s="317"/>
      <c r="B27" s="268" t="s">
        <v>368</v>
      </c>
      <c r="C27" s="318"/>
      <c r="D27" s="318"/>
      <c r="E27" s="318">
        <v>120900</v>
      </c>
      <c r="F27" s="308"/>
      <c r="G27" s="308">
        <f t="shared" si="25"/>
        <v>120833.33</v>
      </c>
      <c r="H27" s="308">
        <f t="shared" si="25"/>
        <v>120833.33</v>
      </c>
      <c r="I27" s="261"/>
      <c r="J27" s="261"/>
      <c r="K27" s="315"/>
      <c r="L27" s="310">
        <f t="shared" si="26"/>
        <v>30833.33</v>
      </c>
      <c r="M27" s="310">
        <f t="shared" si="26"/>
        <v>20833.330000000002</v>
      </c>
      <c r="N27" s="316"/>
      <c r="O27" s="316"/>
      <c r="P27" s="308">
        <v>10833.33</v>
      </c>
      <c r="Q27" s="308">
        <v>10833.33</v>
      </c>
      <c r="R27" s="261"/>
      <c r="S27" s="261"/>
      <c r="T27" s="308">
        <v>10000</v>
      </c>
      <c r="U27" s="308">
        <v>10000</v>
      </c>
      <c r="V27" s="261"/>
      <c r="W27" s="261"/>
      <c r="X27" s="308">
        <v>10000</v>
      </c>
      <c r="Y27" s="308"/>
      <c r="Z27" s="261"/>
      <c r="AA27" s="261"/>
      <c r="AB27" s="315"/>
      <c r="AC27" s="310">
        <f t="shared" si="27"/>
        <v>30000</v>
      </c>
      <c r="AD27" s="310">
        <f t="shared" si="27"/>
        <v>40000</v>
      </c>
      <c r="AE27" s="316"/>
      <c r="AF27" s="316"/>
      <c r="AG27" s="308">
        <v>10000</v>
      </c>
      <c r="AH27" s="266">
        <v>20000</v>
      </c>
      <c r="AI27" s="261"/>
      <c r="AJ27" s="261"/>
      <c r="AK27" s="308">
        <v>10000</v>
      </c>
      <c r="AL27" s="266">
        <v>10000</v>
      </c>
      <c r="AM27" s="261"/>
      <c r="AN27" s="261"/>
      <c r="AO27" s="308">
        <v>10000</v>
      </c>
      <c r="AP27" s="266">
        <v>10000</v>
      </c>
      <c r="AQ27" s="261">
        <v>0</v>
      </c>
      <c r="AR27" s="261">
        <v>0</v>
      </c>
      <c r="AS27" s="315"/>
      <c r="AT27" s="310">
        <f t="shared" si="28"/>
        <v>30000</v>
      </c>
      <c r="AU27" s="310">
        <f t="shared" si="28"/>
        <v>20000</v>
      </c>
      <c r="AV27" s="316">
        <v>0</v>
      </c>
      <c r="AW27" s="261">
        <f t="shared" si="29"/>
        <v>0</v>
      </c>
      <c r="AX27" s="308">
        <v>10000</v>
      </c>
      <c r="AY27" s="266">
        <v>10000</v>
      </c>
      <c r="AZ27" s="261">
        <v>0</v>
      </c>
      <c r="BA27" s="261">
        <v>0</v>
      </c>
      <c r="BB27" s="308">
        <v>10000</v>
      </c>
      <c r="BC27" s="266">
        <v>10000</v>
      </c>
      <c r="BD27" s="261"/>
      <c r="BE27" s="261"/>
      <c r="BF27" s="308">
        <v>10000</v>
      </c>
      <c r="BG27" s="266"/>
      <c r="BH27" s="261"/>
      <c r="BI27" s="261"/>
      <c r="BJ27" s="315"/>
      <c r="BK27" s="310">
        <f t="shared" si="30"/>
        <v>30000</v>
      </c>
      <c r="BL27" s="310">
        <f t="shared" si="30"/>
        <v>40000</v>
      </c>
      <c r="BM27" s="316"/>
      <c r="BN27" s="261">
        <f>BR27+BV27+BZ27</f>
        <v>0</v>
      </c>
      <c r="BO27" s="266">
        <v>10000</v>
      </c>
      <c r="BP27" s="266">
        <v>20000</v>
      </c>
      <c r="BQ27" s="262"/>
      <c r="BR27" s="262"/>
      <c r="BS27" s="266">
        <v>10000</v>
      </c>
      <c r="BT27" s="266">
        <v>10000</v>
      </c>
      <c r="BU27" s="262"/>
      <c r="BV27" s="262"/>
      <c r="BW27" s="266">
        <v>10000</v>
      </c>
      <c r="BX27" s="266">
        <v>10000</v>
      </c>
      <c r="BY27" s="262"/>
      <c r="BZ27" s="262"/>
      <c r="CA27" s="305"/>
    </row>
    <row r="28" spans="1:79" s="313" customFormat="1" ht="42" customHeight="1" x14ac:dyDescent="0.25">
      <c r="A28" s="317"/>
      <c r="B28" s="268" t="s">
        <v>369</v>
      </c>
      <c r="C28" s="318"/>
      <c r="D28" s="318"/>
      <c r="E28" s="318">
        <v>275300</v>
      </c>
      <c r="F28" s="308"/>
      <c r="G28" s="308">
        <f t="shared" si="25"/>
        <v>275268.71999999997</v>
      </c>
      <c r="H28" s="308">
        <f t="shared" si="25"/>
        <v>275302.32</v>
      </c>
      <c r="I28" s="261">
        <v>393</v>
      </c>
      <c r="J28" s="261">
        <f>O28+AF28+AW28+BN28</f>
        <v>2797</v>
      </c>
      <c r="K28" s="309"/>
      <c r="L28" s="310">
        <f t="shared" si="26"/>
        <v>72039.55</v>
      </c>
      <c r="M28" s="310">
        <f t="shared" si="26"/>
        <v>72039.55</v>
      </c>
      <c r="N28" s="261">
        <v>115</v>
      </c>
      <c r="O28" s="261">
        <f>S28+W28+AA28</f>
        <v>753</v>
      </c>
      <c r="P28" s="308">
        <v>23654.47</v>
      </c>
      <c r="Q28" s="308">
        <v>23654.47</v>
      </c>
      <c r="R28" s="261">
        <v>37</v>
      </c>
      <c r="S28" s="261">
        <v>237</v>
      </c>
      <c r="T28" s="308">
        <v>25000</v>
      </c>
      <c r="U28" s="308">
        <v>25000</v>
      </c>
      <c r="V28" s="261">
        <v>45</v>
      </c>
      <c r="W28" s="261">
        <v>276</v>
      </c>
      <c r="X28" s="308">
        <v>23385.08</v>
      </c>
      <c r="Y28" s="308">
        <v>23385.08</v>
      </c>
      <c r="Z28" s="261">
        <v>35</v>
      </c>
      <c r="AA28" s="261">
        <v>240</v>
      </c>
      <c r="AB28" s="309"/>
      <c r="AC28" s="310">
        <f t="shared" si="27"/>
        <v>72484.33</v>
      </c>
      <c r="AD28" s="310">
        <f t="shared" si="27"/>
        <v>72484.33</v>
      </c>
      <c r="AE28" s="261">
        <v>113</v>
      </c>
      <c r="AF28" s="261">
        <f>AJ28+AN28+AR28</f>
        <v>751</v>
      </c>
      <c r="AG28" s="308">
        <v>22634.33</v>
      </c>
      <c r="AH28" s="266">
        <v>22634.33</v>
      </c>
      <c r="AI28" s="261">
        <v>36</v>
      </c>
      <c r="AJ28" s="261">
        <v>236</v>
      </c>
      <c r="AK28" s="308">
        <v>24925</v>
      </c>
      <c r="AL28" s="266">
        <v>14925</v>
      </c>
      <c r="AM28" s="261">
        <v>40</v>
      </c>
      <c r="AN28" s="261">
        <v>258</v>
      </c>
      <c r="AO28" s="308">
        <v>24925</v>
      </c>
      <c r="AP28" s="266">
        <v>34925</v>
      </c>
      <c r="AQ28" s="261">
        <v>38</v>
      </c>
      <c r="AR28" s="261">
        <v>257</v>
      </c>
      <c r="AS28" s="309"/>
      <c r="AT28" s="310">
        <f t="shared" si="28"/>
        <v>69651.25</v>
      </c>
      <c r="AU28" s="310">
        <f t="shared" si="28"/>
        <v>56797</v>
      </c>
      <c r="AV28" s="261">
        <v>100</v>
      </c>
      <c r="AW28" s="261">
        <f t="shared" si="29"/>
        <v>667</v>
      </c>
      <c r="AX28" s="308">
        <v>24925</v>
      </c>
      <c r="AY28" s="266">
        <v>24925</v>
      </c>
      <c r="AZ28" s="261">
        <v>36</v>
      </c>
      <c r="BA28" s="261">
        <v>243</v>
      </c>
      <c r="BB28" s="308">
        <v>24109.5</v>
      </c>
      <c r="BC28" s="266">
        <v>24109.5</v>
      </c>
      <c r="BD28" s="261">
        <v>37</v>
      </c>
      <c r="BE28" s="261">
        <v>230</v>
      </c>
      <c r="BF28" s="308">
        <v>20616.75</v>
      </c>
      <c r="BG28" s="266">
        <v>7762.5</v>
      </c>
      <c r="BH28" s="261">
        <v>30</v>
      </c>
      <c r="BI28" s="261">
        <v>194</v>
      </c>
      <c r="BJ28" s="309"/>
      <c r="BK28" s="310">
        <f t="shared" si="30"/>
        <v>61093.59</v>
      </c>
      <c r="BL28" s="310">
        <f t="shared" si="30"/>
        <v>73981.440000000002</v>
      </c>
      <c r="BM28" s="261">
        <v>99</v>
      </c>
      <c r="BN28" s="261">
        <f>BR28+BV28+BZ28</f>
        <v>626</v>
      </c>
      <c r="BO28" s="266">
        <v>19361.669999999998</v>
      </c>
      <c r="BP28" s="266">
        <v>22664.25</v>
      </c>
      <c r="BQ28" s="262">
        <v>27</v>
      </c>
      <c r="BR28" s="262">
        <v>174</v>
      </c>
      <c r="BS28" s="266">
        <v>24668.62</v>
      </c>
      <c r="BT28" s="266">
        <v>34220.29</v>
      </c>
      <c r="BU28" s="262">
        <v>38</v>
      </c>
      <c r="BV28" s="262">
        <v>239</v>
      </c>
      <c r="BW28" s="266">
        <v>17063.3</v>
      </c>
      <c r="BX28" s="266">
        <v>17096.900000000001</v>
      </c>
      <c r="BY28" s="262">
        <v>36</v>
      </c>
      <c r="BZ28" s="262">
        <v>213</v>
      </c>
      <c r="CA28" s="305"/>
    </row>
    <row r="29" spans="1:79" s="319" customFormat="1" ht="51" customHeight="1" x14ac:dyDescent="0.25">
      <c r="A29" s="300" t="s">
        <v>302</v>
      </c>
      <c r="B29" s="269" t="s">
        <v>370</v>
      </c>
      <c r="C29" s="267">
        <v>15400000</v>
      </c>
      <c r="D29" s="267">
        <v>4744000</v>
      </c>
      <c r="E29" s="302">
        <f>SUM(E30:E32)</f>
        <v>4744000</v>
      </c>
      <c r="F29" s="303">
        <f>K29+AB29+AS29+BJ29</f>
        <v>4744000</v>
      </c>
      <c r="G29" s="304">
        <f>SUM(G30:G32)</f>
        <v>4005975.75</v>
      </c>
      <c r="H29" s="304">
        <f>SUM(H30:H32)</f>
        <v>4740887.1900000004</v>
      </c>
      <c r="I29" s="258">
        <f>SUM(I30:I32)</f>
        <v>20469</v>
      </c>
      <c r="J29" s="258">
        <f>SUM(J30:J32)</f>
        <v>48175</v>
      </c>
      <c r="K29" s="267">
        <v>2300000</v>
      </c>
      <c r="L29" s="304">
        <f t="shared" ref="L29:AA29" si="31">SUM(L30:L32)</f>
        <v>1035226.8400000001</v>
      </c>
      <c r="M29" s="304">
        <f t="shared" si="31"/>
        <v>1027539.6600000001</v>
      </c>
      <c r="N29" s="258">
        <f t="shared" si="31"/>
        <v>9716</v>
      </c>
      <c r="O29" s="258">
        <f t="shared" si="31"/>
        <v>12993</v>
      </c>
      <c r="P29" s="304">
        <f t="shared" si="31"/>
        <v>411769.5</v>
      </c>
      <c r="Q29" s="304">
        <f t="shared" si="31"/>
        <v>228613.78</v>
      </c>
      <c r="R29" s="258">
        <f t="shared" si="31"/>
        <v>4953</v>
      </c>
      <c r="S29" s="258">
        <f t="shared" si="31"/>
        <v>5091</v>
      </c>
      <c r="T29" s="304">
        <f t="shared" si="31"/>
        <v>346643.8</v>
      </c>
      <c r="U29" s="304">
        <f t="shared" si="31"/>
        <v>375352.99000000005</v>
      </c>
      <c r="V29" s="258">
        <f t="shared" si="31"/>
        <v>4491</v>
      </c>
      <c r="W29" s="258">
        <f t="shared" si="31"/>
        <v>4623</v>
      </c>
      <c r="X29" s="304">
        <f t="shared" si="31"/>
        <v>276813.53999999998</v>
      </c>
      <c r="Y29" s="304">
        <f t="shared" si="31"/>
        <v>423572.88999999996</v>
      </c>
      <c r="Z29" s="258">
        <f t="shared" si="31"/>
        <v>3273</v>
      </c>
      <c r="AA29" s="258">
        <f t="shared" si="31"/>
        <v>3279</v>
      </c>
      <c r="AB29" s="267">
        <v>189810</v>
      </c>
      <c r="AC29" s="304">
        <f t="shared" ref="AC29:AR29" si="32">SUM(AC30:AC32)</f>
        <v>1035603.1699999999</v>
      </c>
      <c r="AD29" s="304">
        <f t="shared" si="32"/>
        <v>1271402.49</v>
      </c>
      <c r="AE29" s="258">
        <f t="shared" si="32"/>
        <v>9148</v>
      </c>
      <c r="AF29" s="258">
        <f t="shared" si="32"/>
        <v>12715</v>
      </c>
      <c r="AG29" s="304">
        <f t="shared" si="32"/>
        <v>453129.37</v>
      </c>
      <c r="AH29" s="267">
        <f t="shared" si="32"/>
        <v>352847.65</v>
      </c>
      <c r="AI29" s="258">
        <f t="shared" si="32"/>
        <v>4900</v>
      </c>
      <c r="AJ29" s="258">
        <f t="shared" si="32"/>
        <v>5560</v>
      </c>
      <c r="AK29" s="304">
        <f t="shared" si="32"/>
        <v>335268.59999999998</v>
      </c>
      <c r="AL29" s="267">
        <f t="shared" si="32"/>
        <v>622810.14</v>
      </c>
      <c r="AM29" s="258">
        <f t="shared" si="32"/>
        <v>4165</v>
      </c>
      <c r="AN29" s="258">
        <f t="shared" si="32"/>
        <v>4399</v>
      </c>
      <c r="AO29" s="304">
        <f t="shared" si="32"/>
        <v>247205.2</v>
      </c>
      <c r="AP29" s="267">
        <f t="shared" si="32"/>
        <v>295744.7</v>
      </c>
      <c r="AQ29" s="258">
        <f t="shared" si="32"/>
        <v>2750</v>
      </c>
      <c r="AR29" s="258">
        <f t="shared" si="32"/>
        <v>2756</v>
      </c>
      <c r="AS29" s="267">
        <v>2067990</v>
      </c>
      <c r="AT29" s="304">
        <f t="shared" ref="AT29:BZ29" si="33">SUM(AT30:AT32)</f>
        <v>892457.26</v>
      </c>
      <c r="AU29" s="304">
        <f t="shared" si="33"/>
        <v>1052784.22</v>
      </c>
      <c r="AV29" s="258">
        <f t="shared" si="33"/>
        <v>8410</v>
      </c>
      <c r="AW29" s="258">
        <f t="shared" si="33"/>
        <v>11067</v>
      </c>
      <c r="AX29" s="304">
        <f t="shared" si="33"/>
        <v>385272.97</v>
      </c>
      <c r="AY29" s="267">
        <f t="shared" si="33"/>
        <v>290352.23000000004</v>
      </c>
      <c r="AZ29" s="258">
        <f t="shared" si="33"/>
        <v>4340</v>
      </c>
      <c r="BA29" s="258">
        <f t="shared" si="33"/>
        <v>4792</v>
      </c>
      <c r="BB29" s="304">
        <f t="shared" si="33"/>
        <v>277920.59999999998</v>
      </c>
      <c r="BC29" s="267">
        <f t="shared" si="33"/>
        <v>470816.42</v>
      </c>
      <c r="BD29" s="258">
        <f t="shared" si="33"/>
        <v>3379</v>
      </c>
      <c r="BE29" s="258">
        <f t="shared" si="33"/>
        <v>3396</v>
      </c>
      <c r="BF29" s="304">
        <f t="shared" si="33"/>
        <v>229263.69</v>
      </c>
      <c r="BG29" s="267">
        <f t="shared" si="33"/>
        <v>291615.57</v>
      </c>
      <c r="BH29" s="258">
        <f t="shared" si="33"/>
        <v>2830</v>
      </c>
      <c r="BI29" s="258">
        <f t="shared" si="33"/>
        <v>2879</v>
      </c>
      <c r="BJ29" s="267">
        <v>186200</v>
      </c>
      <c r="BK29" s="304">
        <f t="shared" si="33"/>
        <v>1042688.48</v>
      </c>
      <c r="BL29" s="304">
        <f t="shared" si="33"/>
        <v>1389160.82</v>
      </c>
      <c r="BM29" s="258">
        <f>SUM(BM30:BM32)</f>
        <v>7812</v>
      </c>
      <c r="BN29" s="258">
        <f>SUM(BN30:BN32)</f>
        <v>11400</v>
      </c>
      <c r="BO29" s="267">
        <f t="shared" si="33"/>
        <v>181317.58</v>
      </c>
      <c r="BP29" s="267">
        <f t="shared" si="33"/>
        <v>339069.18</v>
      </c>
      <c r="BQ29" s="259">
        <f t="shared" si="33"/>
        <v>1799</v>
      </c>
      <c r="BR29" s="259">
        <f t="shared" si="33"/>
        <v>1869</v>
      </c>
      <c r="BS29" s="267">
        <f t="shared" si="33"/>
        <v>345396.8</v>
      </c>
      <c r="BT29" s="267">
        <f t="shared" si="33"/>
        <v>150424.35999999999</v>
      </c>
      <c r="BU29" s="259">
        <f>SUM(BU30:BU32)</f>
        <v>3272</v>
      </c>
      <c r="BV29" s="259">
        <f>SUM(BV30:BV32)</f>
        <v>3572</v>
      </c>
      <c r="BW29" s="267">
        <f t="shared" si="33"/>
        <v>515974.1</v>
      </c>
      <c r="BX29" s="267">
        <f t="shared" si="33"/>
        <v>899667.28</v>
      </c>
      <c r="BY29" s="259">
        <f t="shared" si="33"/>
        <v>5028</v>
      </c>
      <c r="BZ29" s="259">
        <f t="shared" si="33"/>
        <v>5959</v>
      </c>
      <c r="CA29" s="305"/>
    </row>
    <row r="30" spans="1:79" s="313" customFormat="1" ht="42" customHeight="1" x14ac:dyDescent="0.25">
      <c r="A30" s="311"/>
      <c r="B30" s="270" t="s">
        <v>371</v>
      </c>
      <c r="C30" s="266"/>
      <c r="D30" s="266"/>
      <c r="E30" s="318">
        <v>4006200</v>
      </c>
      <c r="F30" s="308"/>
      <c r="G30" s="308">
        <f t="shared" ref="G30:H32" si="34">L30+AC30+AT30+BK30</f>
        <v>4005975.75</v>
      </c>
      <c r="H30" s="308">
        <f t="shared" si="34"/>
        <v>4005975.7500000005</v>
      </c>
      <c r="I30" s="261">
        <v>20469</v>
      </c>
      <c r="J30" s="261">
        <f>O30+AF30+AW30+BN30</f>
        <v>48175</v>
      </c>
      <c r="K30" s="309"/>
      <c r="L30" s="310">
        <f t="shared" ref="L30:M32" si="35">P30+T30+X30</f>
        <v>1035226.8400000001</v>
      </c>
      <c r="M30" s="310">
        <f t="shared" si="35"/>
        <v>929595.34000000008</v>
      </c>
      <c r="N30" s="261">
        <v>9716</v>
      </c>
      <c r="O30" s="261">
        <f>S30+W30+AA30</f>
        <v>12993</v>
      </c>
      <c r="P30" s="308">
        <v>411769.5</v>
      </c>
      <c r="Q30" s="308">
        <v>203124.9</v>
      </c>
      <c r="R30" s="261">
        <v>4953</v>
      </c>
      <c r="S30" s="261">
        <v>5091</v>
      </c>
      <c r="T30" s="308">
        <v>346643.8</v>
      </c>
      <c r="U30" s="308">
        <v>336473.4</v>
      </c>
      <c r="V30" s="261">
        <v>4491</v>
      </c>
      <c r="W30" s="261">
        <v>4623</v>
      </c>
      <c r="X30" s="308">
        <v>276813.53999999998</v>
      </c>
      <c r="Y30" s="308">
        <f>389997.04</f>
        <v>389997.04</v>
      </c>
      <c r="Z30" s="261">
        <v>3273</v>
      </c>
      <c r="AA30" s="261">
        <v>3279</v>
      </c>
      <c r="AB30" s="309"/>
      <c r="AC30" s="310">
        <f t="shared" ref="AC30:AD32" si="36">AG30+AK30+AO30</f>
        <v>1035603.1699999999</v>
      </c>
      <c r="AD30" s="261">
        <f t="shared" si="36"/>
        <v>1035156.67</v>
      </c>
      <c r="AE30" s="261">
        <v>9148</v>
      </c>
      <c r="AF30" s="261">
        <f>AJ30+AN30+AR30</f>
        <v>12715</v>
      </c>
      <c r="AG30" s="308">
        <v>453129.37</v>
      </c>
      <c r="AH30" s="266">
        <f>319433.07</f>
        <v>319433.07</v>
      </c>
      <c r="AI30" s="261">
        <v>4900</v>
      </c>
      <c r="AJ30" s="261">
        <v>5560</v>
      </c>
      <c r="AK30" s="308">
        <v>335268.59999999998</v>
      </c>
      <c r="AL30" s="266">
        <f>591028.5-135200</f>
        <v>455828.5</v>
      </c>
      <c r="AM30" s="261">
        <v>4165</v>
      </c>
      <c r="AN30" s="261">
        <v>4399</v>
      </c>
      <c r="AO30" s="308">
        <v>247205.2</v>
      </c>
      <c r="AP30" s="266">
        <v>259895.1</v>
      </c>
      <c r="AQ30" s="261">
        <v>2750</v>
      </c>
      <c r="AR30" s="261">
        <v>2756</v>
      </c>
      <c r="AS30" s="309"/>
      <c r="AT30" s="310">
        <f>AX30+BB30+BF30</f>
        <v>892457.26</v>
      </c>
      <c r="AU30" s="310">
        <f t="shared" ref="AT30:AU32" si="37">AY30+BC30+BG30</f>
        <v>866478.47</v>
      </c>
      <c r="AV30" s="261">
        <v>8410</v>
      </c>
      <c r="AW30" s="261">
        <f>BA30+BE30+BI30</f>
        <v>11067</v>
      </c>
      <c r="AX30" s="308">
        <v>385272.97</v>
      </c>
      <c r="AY30" s="266">
        <f>254514.7-64003.2</f>
        <v>190511.5</v>
      </c>
      <c r="AZ30" s="261">
        <v>4340</v>
      </c>
      <c r="BA30" s="261">
        <v>4792</v>
      </c>
      <c r="BB30" s="308">
        <v>277920.59999999998</v>
      </c>
      <c r="BC30" s="266">
        <f>441218.67</f>
        <v>441218.67</v>
      </c>
      <c r="BD30" s="261">
        <v>3379</v>
      </c>
      <c r="BE30" s="261">
        <v>3396</v>
      </c>
      <c r="BF30" s="308">
        <v>229263.69</v>
      </c>
      <c r="BG30" s="266">
        <f>260207.5-25459.2</f>
        <v>234748.3</v>
      </c>
      <c r="BH30" s="261">
        <v>2830</v>
      </c>
      <c r="BI30" s="261">
        <v>2879</v>
      </c>
      <c r="BJ30" s="309"/>
      <c r="BK30" s="310">
        <f t="shared" ref="BK30:BL32" si="38">BO30+BS30+BW30</f>
        <v>1042688.48</v>
      </c>
      <c r="BL30" s="310">
        <f t="shared" si="38"/>
        <v>1174745.27</v>
      </c>
      <c r="BM30" s="261">
        <v>7812</v>
      </c>
      <c r="BN30" s="261">
        <f>BR30+BV30+BZ30</f>
        <v>11400</v>
      </c>
      <c r="BO30" s="266">
        <v>181317.58</v>
      </c>
      <c r="BP30" s="266">
        <v>193163.78999999998</v>
      </c>
      <c r="BQ30" s="262">
        <v>1799</v>
      </c>
      <c r="BR30" s="262">
        <v>1869</v>
      </c>
      <c r="BS30" s="266">
        <v>345396.8</v>
      </c>
      <c r="BT30" s="266">
        <f>125453.68</f>
        <v>125453.68</v>
      </c>
      <c r="BU30" s="262">
        <v>3272</v>
      </c>
      <c r="BV30" s="262">
        <v>3572</v>
      </c>
      <c r="BW30" s="266">
        <v>515974.1</v>
      </c>
      <c r="BX30" s="266">
        <v>856127.8</v>
      </c>
      <c r="BY30" s="262">
        <v>5028</v>
      </c>
      <c r="BZ30" s="262">
        <v>5959</v>
      </c>
      <c r="CA30" s="305"/>
    </row>
    <row r="31" spans="1:79" s="313" customFormat="1" ht="42" customHeight="1" x14ac:dyDescent="0.25">
      <c r="A31" s="311"/>
      <c r="B31" s="270" t="s">
        <v>372</v>
      </c>
      <c r="C31" s="266"/>
      <c r="D31" s="266"/>
      <c r="E31" s="318">
        <v>341300</v>
      </c>
      <c r="F31" s="308"/>
      <c r="G31" s="308">
        <f t="shared" si="34"/>
        <v>0</v>
      </c>
      <c r="H31" s="308">
        <f t="shared" si="34"/>
        <v>341203.16</v>
      </c>
      <c r="I31" s="261"/>
      <c r="J31" s="261"/>
      <c r="K31" s="309"/>
      <c r="L31" s="310">
        <f t="shared" si="35"/>
        <v>0</v>
      </c>
      <c r="M31" s="310">
        <f t="shared" si="35"/>
        <v>0</v>
      </c>
      <c r="N31" s="261"/>
      <c r="O31" s="261"/>
      <c r="P31" s="308"/>
      <c r="Q31" s="308"/>
      <c r="R31" s="261"/>
      <c r="S31" s="261"/>
      <c r="T31" s="308"/>
      <c r="U31" s="308"/>
      <c r="V31" s="261"/>
      <c r="W31" s="261"/>
      <c r="X31" s="308"/>
      <c r="Y31" s="308"/>
      <c r="Z31" s="261"/>
      <c r="AA31" s="261"/>
      <c r="AB31" s="309"/>
      <c r="AC31" s="310">
        <f t="shared" si="36"/>
        <v>0</v>
      </c>
      <c r="AD31" s="310">
        <f t="shared" si="36"/>
        <v>135200</v>
      </c>
      <c r="AE31" s="261"/>
      <c r="AF31" s="261"/>
      <c r="AG31" s="308"/>
      <c r="AH31" s="266"/>
      <c r="AI31" s="261"/>
      <c r="AJ31" s="261"/>
      <c r="AK31" s="308"/>
      <c r="AL31" s="266">
        <f>67600+183.87+67416.13</f>
        <v>135200</v>
      </c>
      <c r="AM31" s="261"/>
      <c r="AN31" s="261"/>
      <c r="AO31" s="308"/>
      <c r="AP31" s="266"/>
      <c r="AQ31" s="261"/>
      <c r="AR31" s="261"/>
      <c r="AS31" s="309"/>
      <c r="AT31" s="310">
        <f t="shared" si="37"/>
        <v>0</v>
      </c>
      <c r="AU31" s="310">
        <f t="shared" si="37"/>
        <v>89462.399999999994</v>
      </c>
      <c r="AV31" s="261"/>
      <c r="AW31" s="261">
        <f>BA31+BE31+BI31</f>
        <v>0</v>
      </c>
      <c r="AX31" s="308"/>
      <c r="AY31" s="266">
        <f>64003.2</f>
        <v>64003.199999999997</v>
      </c>
      <c r="AZ31" s="261"/>
      <c r="BA31" s="261"/>
      <c r="BB31" s="308"/>
      <c r="BC31" s="266"/>
      <c r="BD31" s="261"/>
      <c r="BE31" s="261"/>
      <c r="BF31" s="308"/>
      <c r="BG31" s="266">
        <f>25459.2</f>
        <v>25459.200000000001</v>
      </c>
      <c r="BH31" s="261"/>
      <c r="BI31" s="261"/>
      <c r="BJ31" s="309"/>
      <c r="BK31" s="310">
        <f t="shared" si="38"/>
        <v>0</v>
      </c>
      <c r="BL31" s="310">
        <f t="shared" si="38"/>
        <v>116540.76</v>
      </c>
      <c r="BM31" s="261"/>
      <c r="BN31" s="261"/>
      <c r="BO31" s="266"/>
      <c r="BP31" s="266">
        <f>38539.2+78001.56</f>
        <v>116540.76</v>
      </c>
      <c r="BQ31" s="262"/>
      <c r="BR31" s="262"/>
      <c r="BS31" s="266"/>
      <c r="BT31" s="266"/>
      <c r="BU31" s="262"/>
      <c r="BV31" s="262"/>
      <c r="BW31" s="266"/>
      <c r="BX31" s="266"/>
      <c r="BY31" s="262"/>
      <c r="BZ31" s="262"/>
      <c r="CA31" s="305"/>
    </row>
    <row r="32" spans="1:79" s="313" customFormat="1" ht="42" customHeight="1" x14ac:dyDescent="0.25">
      <c r="A32" s="311"/>
      <c r="B32" s="260" t="s">
        <v>373</v>
      </c>
      <c r="C32" s="266"/>
      <c r="D32" s="266"/>
      <c r="E32" s="318">
        <v>396500</v>
      </c>
      <c r="F32" s="308"/>
      <c r="G32" s="308">
        <f>L32+AC32+AT32+BK32</f>
        <v>0</v>
      </c>
      <c r="H32" s="308">
        <f t="shared" si="34"/>
        <v>393708.28</v>
      </c>
      <c r="I32" s="261"/>
      <c r="J32" s="261"/>
      <c r="K32" s="309"/>
      <c r="L32" s="310">
        <f>P32+T32+X32</f>
        <v>0</v>
      </c>
      <c r="M32" s="310">
        <f t="shared" si="35"/>
        <v>97944.320000000007</v>
      </c>
      <c r="N32" s="261"/>
      <c r="O32" s="261"/>
      <c r="P32" s="308"/>
      <c r="Q32" s="308">
        <f>14510+35.33+9786.8+573.75+340+243</f>
        <v>25488.879999999997</v>
      </c>
      <c r="R32" s="261"/>
      <c r="S32" s="261"/>
      <c r="T32" s="308"/>
      <c r="U32" s="308">
        <f>14000+35.2+400+21982.22+498+280.62+850+342.55+250+241</f>
        <v>38879.590000000004</v>
      </c>
      <c r="V32" s="261"/>
      <c r="W32" s="261"/>
      <c r="X32" s="308"/>
      <c r="Y32" s="308">
        <f>14283.33+30.8+400+16890.25+416.25+566.67+342.55+250+396</f>
        <v>33575.85</v>
      </c>
      <c r="Z32" s="261"/>
      <c r="AA32" s="261"/>
      <c r="AB32" s="309"/>
      <c r="AC32" s="310">
        <f t="shared" si="36"/>
        <v>0</v>
      </c>
      <c r="AD32" s="310">
        <f t="shared" si="36"/>
        <v>101045.82</v>
      </c>
      <c r="AE32" s="261"/>
      <c r="AF32" s="261"/>
      <c r="AG32" s="308"/>
      <c r="AH32" s="266">
        <f>15077.94+35.2+400+16067.05+375+143.26+581.58+342.55+250+142</f>
        <v>33414.58</v>
      </c>
      <c r="AI32" s="261"/>
      <c r="AJ32" s="261"/>
      <c r="AK32" s="308"/>
      <c r="AL32" s="266">
        <f>14427.27+35.2+400+14237.25+197.25+271.39+1272.73+342.55+250+348</f>
        <v>31781.64</v>
      </c>
      <c r="AM32" s="261"/>
      <c r="AN32" s="261"/>
      <c r="AO32" s="308"/>
      <c r="AP32" s="266">
        <f>15700+44+400+16705.3+0.75+342.55+250+1479+928</f>
        <v>35849.600000000006</v>
      </c>
      <c r="AQ32" s="261"/>
      <c r="AR32" s="261"/>
      <c r="AS32" s="309"/>
      <c r="AT32" s="310">
        <f t="shared" si="37"/>
        <v>0</v>
      </c>
      <c r="AU32" s="310">
        <f t="shared" si="37"/>
        <v>96843.35</v>
      </c>
      <c r="AV32" s="261"/>
      <c r="AW32" s="261">
        <f>BA32+BE32+BI32</f>
        <v>0</v>
      </c>
      <c r="AX32" s="308"/>
      <c r="AY32" s="266">
        <f>15313.64+30.8+400+17956.2+0.75+359.23+386.36+342.55+250+798</f>
        <v>35837.530000000006</v>
      </c>
      <c r="AZ32" s="261"/>
      <c r="BA32" s="261"/>
      <c r="BB32" s="308"/>
      <c r="BC32" s="266">
        <f>15700+35.2+400+12555+342.55+250+315</f>
        <v>29597.75</v>
      </c>
      <c r="BD32" s="261"/>
      <c r="BE32" s="261"/>
      <c r="BF32" s="308"/>
      <c r="BG32" s="266">
        <f>14445+13.2+400+15355+228.32+342.55+250+374</f>
        <v>31408.07</v>
      </c>
      <c r="BH32" s="261"/>
      <c r="BI32" s="261"/>
      <c r="BJ32" s="309"/>
      <c r="BK32" s="310">
        <f t="shared" si="38"/>
        <v>0</v>
      </c>
      <c r="BL32" s="310">
        <f t="shared" si="38"/>
        <v>97874.790000000008</v>
      </c>
      <c r="BM32" s="261"/>
      <c r="BN32" s="261"/>
      <c r="BO32" s="266"/>
      <c r="BP32" s="266">
        <f>14700+1470+133.33+11485.13+1434.78+51.39+90</f>
        <v>29364.629999999997</v>
      </c>
      <c r="BQ32" s="262"/>
      <c r="BR32" s="262"/>
      <c r="BS32" s="266"/>
      <c r="BT32" s="266">
        <f>14467.93+9564.47+797.28+141</f>
        <v>24970.68</v>
      </c>
      <c r="BU32" s="262"/>
      <c r="BV32" s="262"/>
      <c r="BW32" s="266"/>
      <c r="BX32" s="266">
        <f>26714.29+15588.48+285.71+951</f>
        <v>43539.48</v>
      </c>
      <c r="BY32" s="262"/>
      <c r="BZ32" s="262"/>
      <c r="CA32" s="305"/>
    </row>
    <row r="33" spans="1:79" s="306" customFormat="1" ht="42" customHeight="1" x14ac:dyDescent="0.2">
      <c r="A33" s="300" t="s">
        <v>374</v>
      </c>
      <c r="B33" s="301" t="s">
        <v>375</v>
      </c>
      <c r="C33" s="267">
        <v>21000000</v>
      </c>
      <c r="D33" s="267">
        <v>20550700</v>
      </c>
      <c r="E33" s="267">
        <f>SUM(E34:E41)</f>
        <v>20550700</v>
      </c>
      <c r="F33" s="303">
        <f>K33+AB33+AS33+BJ33</f>
        <v>20550700</v>
      </c>
      <c r="G33" s="304">
        <f t="shared" ref="G33:AR33" si="39">SUM(G34:G41)</f>
        <v>20550249.959999997</v>
      </c>
      <c r="H33" s="304">
        <f t="shared" si="39"/>
        <v>20550249.960000001</v>
      </c>
      <c r="I33" s="258">
        <f t="shared" si="39"/>
        <v>29242</v>
      </c>
      <c r="J33" s="258">
        <f t="shared" si="39"/>
        <v>611942</v>
      </c>
      <c r="K33" s="267">
        <v>5250000</v>
      </c>
      <c r="L33" s="304">
        <f t="shared" si="39"/>
        <v>4821043.6999999993</v>
      </c>
      <c r="M33" s="304">
        <f t="shared" si="39"/>
        <v>4780163.7</v>
      </c>
      <c r="N33" s="258">
        <f t="shared" si="39"/>
        <v>19851</v>
      </c>
      <c r="O33" s="258">
        <f t="shared" si="39"/>
        <v>158486</v>
      </c>
      <c r="P33" s="304">
        <f t="shared" si="39"/>
        <v>1354245.3399999999</v>
      </c>
      <c r="Q33" s="304">
        <f t="shared" si="39"/>
        <v>1354245.3399999999</v>
      </c>
      <c r="R33" s="258">
        <f t="shared" si="39"/>
        <v>14034</v>
      </c>
      <c r="S33" s="258">
        <f t="shared" si="39"/>
        <v>53895</v>
      </c>
      <c r="T33" s="304">
        <f t="shared" si="39"/>
        <v>1614445.37</v>
      </c>
      <c r="U33" s="304">
        <f t="shared" si="39"/>
        <v>1059583.02</v>
      </c>
      <c r="V33" s="258">
        <f t="shared" si="39"/>
        <v>9887</v>
      </c>
      <c r="W33" s="258">
        <f t="shared" si="39"/>
        <v>50401</v>
      </c>
      <c r="X33" s="304">
        <f t="shared" si="39"/>
        <v>1852352.99</v>
      </c>
      <c r="Y33" s="304">
        <f t="shared" si="39"/>
        <v>2366335.34</v>
      </c>
      <c r="Z33" s="258">
        <f t="shared" si="39"/>
        <v>14931</v>
      </c>
      <c r="AA33" s="258">
        <f t="shared" si="39"/>
        <v>54190</v>
      </c>
      <c r="AB33" s="267">
        <v>5229050</v>
      </c>
      <c r="AC33" s="304">
        <f t="shared" ref="AC33:AH33" si="40">SUM(AC34:AC41)</f>
        <v>5222679.1100000003</v>
      </c>
      <c r="AD33" s="304">
        <f t="shared" si="40"/>
        <v>5246309.1100000003</v>
      </c>
      <c r="AE33" s="258">
        <f t="shared" si="40"/>
        <v>19625</v>
      </c>
      <c r="AF33" s="258">
        <f t="shared" si="40"/>
        <v>155646</v>
      </c>
      <c r="AG33" s="304">
        <f t="shared" si="40"/>
        <v>1741044.29</v>
      </c>
      <c r="AH33" s="267">
        <f t="shared" si="40"/>
        <v>1425504.29</v>
      </c>
      <c r="AI33" s="258">
        <f t="shared" si="39"/>
        <v>13852</v>
      </c>
      <c r="AJ33" s="258">
        <f t="shared" si="39"/>
        <v>52793</v>
      </c>
      <c r="AK33" s="304">
        <f t="shared" si="39"/>
        <v>1743756.41</v>
      </c>
      <c r="AL33" s="267">
        <f t="shared" si="39"/>
        <v>2065311</v>
      </c>
      <c r="AM33" s="258">
        <f t="shared" si="39"/>
        <v>13783</v>
      </c>
      <c r="AN33" s="258">
        <f t="shared" si="39"/>
        <v>50743</v>
      </c>
      <c r="AO33" s="304">
        <f t="shared" si="39"/>
        <v>1737878.41</v>
      </c>
      <c r="AP33" s="267">
        <f t="shared" si="39"/>
        <v>1755493.82</v>
      </c>
      <c r="AQ33" s="258">
        <f t="shared" si="39"/>
        <v>14121</v>
      </c>
      <c r="AR33" s="258">
        <f t="shared" si="39"/>
        <v>52110</v>
      </c>
      <c r="AS33" s="267">
        <v>5250000</v>
      </c>
      <c r="AT33" s="304">
        <f t="shared" ref="AT33:BZ33" si="41">SUM(AT34:AT41)</f>
        <v>5223355.67</v>
      </c>
      <c r="AU33" s="304">
        <f t="shared" si="41"/>
        <v>5023808.5199999996</v>
      </c>
      <c r="AV33" s="258">
        <f>SUM(AV34:AV41)</f>
        <v>19389</v>
      </c>
      <c r="AW33" s="258">
        <f t="shared" si="41"/>
        <v>149017</v>
      </c>
      <c r="AX33" s="304">
        <f t="shared" si="41"/>
        <v>1712418.41</v>
      </c>
      <c r="AY33" s="267">
        <f t="shared" si="41"/>
        <v>1656113</v>
      </c>
      <c r="AZ33" s="258">
        <f t="shared" si="41"/>
        <v>13959</v>
      </c>
      <c r="BA33" s="258">
        <f t="shared" si="41"/>
        <v>49446</v>
      </c>
      <c r="BB33" s="304">
        <f t="shared" si="41"/>
        <v>1741976.8599999999</v>
      </c>
      <c r="BC33" s="267">
        <f t="shared" si="41"/>
        <v>1794171</v>
      </c>
      <c r="BD33" s="258">
        <f t="shared" si="41"/>
        <v>13892</v>
      </c>
      <c r="BE33" s="258">
        <f t="shared" si="41"/>
        <v>50670</v>
      </c>
      <c r="BF33" s="304">
        <f t="shared" si="41"/>
        <v>1768960.4</v>
      </c>
      <c r="BG33" s="267">
        <f t="shared" si="41"/>
        <v>1573524.52</v>
      </c>
      <c r="BH33" s="258">
        <f>SUM(BH34:BH41)</f>
        <v>13098</v>
      </c>
      <c r="BI33" s="258">
        <f t="shared" si="41"/>
        <v>48901</v>
      </c>
      <c r="BJ33" s="267">
        <v>4821650</v>
      </c>
      <c r="BK33" s="304">
        <f t="shared" si="41"/>
        <v>5283171.4799999995</v>
      </c>
      <c r="BL33" s="304">
        <f t="shared" si="41"/>
        <v>5499968.6299999999</v>
      </c>
      <c r="BM33" s="258">
        <f>SUM(BM34:BM41)</f>
        <v>19752</v>
      </c>
      <c r="BN33" s="258">
        <f>SUM(BN34:BN41)</f>
        <v>148793</v>
      </c>
      <c r="BO33" s="267">
        <f t="shared" si="41"/>
        <v>1750757.9899999998</v>
      </c>
      <c r="BP33" s="267">
        <f t="shared" si="41"/>
        <v>1920928.1400000001</v>
      </c>
      <c r="BQ33" s="259">
        <f t="shared" si="41"/>
        <v>13484</v>
      </c>
      <c r="BR33" s="259">
        <f t="shared" si="41"/>
        <v>48870</v>
      </c>
      <c r="BS33" s="267">
        <f t="shared" si="41"/>
        <v>1765830.0699999998</v>
      </c>
      <c r="BT33" s="267">
        <f t="shared" si="41"/>
        <v>1807815.0699999998</v>
      </c>
      <c r="BU33" s="259">
        <f>SUM(BU34:BU41)</f>
        <v>14265</v>
      </c>
      <c r="BV33" s="259">
        <f>SUM(BV34:BV41)</f>
        <v>50959</v>
      </c>
      <c r="BW33" s="267">
        <f t="shared" si="41"/>
        <v>1766583.42</v>
      </c>
      <c r="BX33" s="267">
        <f t="shared" si="41"/>
        <v>1771225.42</v>
      </c>
      <c r="BY33" s="259">
        <f t="shared" si="41"/>
        <v>13580</v>
      </c>
      <c r="BZ33" s="259">
        <f t="shared" si="41"/>
        <v>48964</v>
      </c>
      <c r="CA33" s="305"/>
    </row>
    <row r="34" spans="1:79" s="313" customFormat="1" ht="42" customHeight="1" x14ac:dyDescent="0.25">
      <c r="A34" s="311"/>
      <c r="B34" s="268" t="s">
        <v>468</v>
      </c>
      <c r="C34" s="266"/>
      <c r="D34" s="266"/>
      <c r="E34" s="266">
        <v>5557600</v>
      </c>
      <c r="F34" s="308"/>
      <c r="G34" s="308">
        <f t="shared" ref="G34:H41" si="42">L34+AC34+AT34+BK34</f>
        <v>5557545.04</v>
      </c>
      <c r="H34" s="308">
        <f t="shared" si="42"/>
        <v>5557545.04</v>
      </c>
      <c r="I34" s="308">
        <v>22867</v>
      </c>
      <c r="J34" s="261">
        <f t="shared" ref="J34:J41" si="43">O34+AF34+AW34+BN34</f>
        <v>143973</v>
      </c>
      <c r="K34" s="309"/>
      <c r="L34" s="310">
        <f t="shared" ref="L34:M41" si="44">P34+T34+X34</f>
        <v>1202625.0499999998</v>
      </c>
      <c r="M34" s="310">
        <f t="shared" si="44"/>
        <v>1178245.05</v>
      </c>
      <c r="N34" s="261">
        <v>16886</v>
      </c>
      <c r="O34" s="261">
        <f>S34+W34+AA34</f>
        <v>37175</v>
      </c>
      <c r="P34" s="308">
        <v>238774</v>
      </c>
      <c r="Q34" s="308">
        <v>238774</v>
      </c>
      <c r="R34" s="261">
        <v>12124</v>
      </c>
      <c r="S34" s="261">
        <v>12855</v>
      </c>
      <c r="T34" s="308">
        <v>339929.35</v>
      </c>
      <c r="U34" s="308">
        <v>32620</v>
      </c>
      <c r="V34" s="261">
        <v>7898</v>
      </c>
      <c r="W34" s="261">
        <v>8377</v>
      </c>
      <c r="X34" s="308">
        <v>623921.69999999995</v>
      </c>
      <c r="Y34" s="308">
        <v>906851.05</v>
      </c>
      <c r="Z34" s="261">
        <v>12865</v>
      </c>
      <c r="AA34" s="261">
        <v>15943</v>
      </c>
      <c r="AB34" s="309"/>
      <c r="AC34" s="310">
        <f t="shared" ref="AC34:AD41" si="45">AG34+AK34+AO34</f>
        <v>1451640</v>
      </c>
      <c r="AD34" s="310">
        <f t="shared" si="45"/>
        <v>1476020</v>
      </c>
      <c r="AE34" s="261">
        <v>16520</v>
      </c>
      <c r="AF34" s="261">
        <f>AJ34+AN34+AR34</f>
        <v>36062</v>
      </c>
      <c r="AG34" s="308">
        <v>483880</v>
      </c>
      <c r="AH34" s="266">
        <v>296900</v>
      </c>
      <c r="AI34" s="261">
        <v>11714</v>
      </c>
      <c r="AJ34" s="261">
        <v>12022</v>
      </c>
      <c r="AK34" s="308">
        <v>483880</v>
      </c>
      <c r="AL34" s="266">
        <v>695240</v>
      </c>
      <c r="AM34" s="261">
        <v>11741</v>
      </c>
      <c r="AN34" s="261">
        <v>11875</v>
      </c>
      <c r="AO34" s="308">
        <v>483880</v>
      </c>
      <c r="AP34" s="266">
        <v>483880</v>
      </c>
      <c r="AQ34" s="261">
        <v>12031</v>
      </c>
      <c r="AR34" s="261">
        <v>12165</v>
      </c>
      <c r="AS34" s="309"/>
      <c r="AT34" s="310">
        <f t="shared" ref="AT34:AU41" si="46">AX34+BB34+BF34</f>
        <v>1451639.99</v>
      </c>
      <c r="AU34" s="310">
        <f t="shared" si="46"/>
        <v>1349488.7</v>
      </c>
      <c r="AV34" s="261">
        <v>16274</v>
      </c>
      <c r="AW34" s="261">
        <f t="shared" ref="AW34:AW41" si="47">BA34+BE34+BI34</f>
        <v>35148</v>
      </c>
      <c r="AX34" s="308">
        <v>483880</v>
      </c>
      <c r="AY34" s="266">
        <v>463680</v>
      </c>
      <c r="AZ34" s="261">
        <v>11910</v>
      </c>
      <c r="BA34" s="261">
        <v>12052</v>
      </c>
      <c r="BB34" s="308">
        <v>483880</v>
      </c>
      <c r="BC34" s="266">
        <v>504080</v>
      </c>
      <c r="BD34" s="261">
        <v>11776</v>
      </c>
      <c r="BE34" s="261">
        <v>11920</v>
      </c>
      <c r="BF34" s="308">
        <v>483879.99</v>
      </c>
      <c r="BG34" s="266">
        <v>381728.7</v>
      </c>
      <c r="BH34" s="261">
        <v>11041</v>
      </c>
      <c r="BI34" s="261">
        <v>11176</v>
      </c>
      <c r="BJ34" s="309"/>
      <c r="BK34" s="310">
        <f t="shared" ref="BK34:BL41" si="48">BO34+BS34+BW34</f>
        <v>1451640</v>
      </c>
      <c r="BL34" s="310">
        <f t="shared" si="48"/>
        <v>1553791.29</v>
      </c>
      <c r="BM34" s="261">
        <v>16751</v>
      </c>
      <c r="BN34" s="261">
        <f t="shared" ref="BN34:BN41" si="49">BR34+BV34+BZ34</f>
        <v>35588</v>
      </c>
      <c r="BO34" s="266">
        <v>483880</v>
      </c>
      <c r="BP34" s="266">
        <v>565831.29</v>
      </c>
      <c r="BQ34" s="262">
        <v>11459</v>
      </c>
      <c r="BR34" s="262">
        <v>11591</v>
      </c>
      <c r="BS34" s="266">
        <v>483880</v>
      </c>
      <c r="BT34" s="266">
        <v>500560</v>
      </c>
      <c r="BU34" s="262">
        <v>12171</v>
      </c>
      <c r="BV34" s="262">
        <v>12336</v>
      </c>
      <c r="BW34" s="266">
        <v>483880</v>
      </c>
      <c r="BX34" s="266">
        <v>487400</v>
      </c>
      <c r="BY34" s="262">
        <v>11517</v>
      </c>
      <c r="BZ34" s="262">
        <v>11661</v>
      </c>
      <c r="CA34" s="305"/>
    </row>
    <row r="35" spans="1:79" s="313" customFormat="1" ht="42" customHeight="1" x14ac:dyDescent="0.25">
      <c r="A35" s="311"/>
      <c r="B35" s="268" t="s">
        <v>469</v>
      </c>
      <c r="C35" s="266"/>
      <c r="D35" s="266"/>
      <c r="E35" s="266">
        <v>77700</v>
      </c>
      <c r="F35" s="308"/>
      <c r="G35" s="308">
        <f t="shared" si="42"/>
        <v>77668.010000000009</v>
      </c>
      <c r="H35" s="308">
        <f t="shared" si="42"/>
        <v>77668.010000000009</v>
      </c>
      <c r="I35" s="261">
        <v>74</v>
      </c>
      <c r="J35" s="261">
        <f t="shared" si="43"/>
        <v>1368</v>
      </c>
      <c r="K35" s="309"/>
      <c r="L35" s="310">
        <f t="shared" si="44"/>
        <v>18898.010000000002</v>
      </c>
      <c r="M35" s="310">
        <f t="shared" si="44"/>
        <v>18898.010000000002</v>
      </c>
      <c r="N35" s="261">
        <v>51</v>
      </c>
      <c r="O35" s="261">
        <f t="shared" ref="O35:O44" si="50">S35+W35+AA35</f>
        <v>409</v>
      </c>
      <c r="P35" s="308">
        <v>5838.01</v>
      </c>
      <c r="Q35" s="308">
        <v>5838.01</v>
      </c>
      <c r="R35" s="261">
        <v>50</v>
      </c>
      <c r="S35" s="261">
        <v>148</v>
      </c>
      <c r="T35" s="308">
        <v>6530</v>
      </c>
      <c r="U35" s="308">
        <v>2070</v>
      </c>
      <c r="V35" s="261">
        <v>51</v>
      </c>
      <c r="W35" s="261">
        <v>148</v>
      </c>
      <c r="X35" s="308">
        <v>6530</v>
      </c>
      <c r="Y35" s="308">
        <v>10990</v>
      </c>
      <c r="Z35" s="261">
        <v>51</v>
      </c>
      <c r="AA35" s="261">
        <v>113</v>
      </c>
      <c r="AB35" s="309"/>
      <c r="AC35" s="310">
        <f t="shared" si="45"/>
        <v>19590</v>
      </c>
      <c r="AD35" s="310">
        <f t="shared" si="45"/>
        <v>19590</v>
      </c>
      <c r="AE35" s="261">
        <v>56</v>
      </c>
      <c r="AF35" s="261">
        <f t="shared" ref="AF35:AF44" si="51">AJ35+AN35+AR35</f>
        <v>327</v>
      </c>
      <c r="AG35" s="308">
        <v>6530</v>
      </c>
      <c r="AH35" s="266">
        <v>6530</v>
      </c>
      <c r="AI35" s="261">
        <v>50</v>
      </c>
      <c r="AJ35" s="261">
        <v>111</v>
      </c>
      <c r="AK35" s="308">
        <v>6530</v>
      </c>
      <c r="AL35" s="266">
        <v>6530</v>
      </c>
      <c r="AM35" s="261">
        <v>49</v>
      </c>
      <c r="AN35" s="261">
        <v>108</v>
      </c>
      <c r="AO35" s="308">
        <v>6530</v>
      </c>
      <c r="AP35" s="266">
        <v>6530</v>
      </c>
      <c r="AQ35" s="261">
        <v>49</v>
      </c>
      <c r="AR35" s="261">
        <v>108</v>
      </c>
      <c r="AS35" s="309"/>
      <c r="AT35" s="310">
        <f t="shared" si="46"/>
        <v>19590</v>
      </c>
      <c r="AU35" s="310">
        <f t="shared" si="46"/>
        <v>17360</v>
      </c>
      <c r="AV35" s="261">
        <v>49</v>
      </c>
      <c r="AW35" s="261">
        <f t="shared" si="47"/>
        <v>324</v>
      </c>
      <c r="AX35" s="308">
        <v>6530</v>
      </c>
      <c r="AY35" s="266">
        <v>6530</v>
      </c>
      <c r="AZ35" s="261">
        <v>49</v>
      </c>
      <c r="BA35" s="261">
        <v>108</v>
      </c>
      <c r="BB35" s="308">
        <v>6530</v>
      </c>
      <c r="BC35" s="266">
        <v>6530</v>
      </c>
      <c r="BD35" s="261">
        <v>49</v>
      </c>
      <c r="BE35" s="261">
        <v>108</v>
      </c>
      <c r="BF35" s="308">
        <v>6530</v>
      </c>
      <c r="BG35" s="266">
        <v>4300</v>
      </c>
      <c r="BH35" s="261">
        <v>49</v>
      </c>
      <c r="BI35" s="261">
        <v>108</v>
      </c>
      <c r="BJ35" s="309"/>
      <c r="BK35" s="310">
        <f t="shared" si="48"/>
        <v>19590</v>
      </c>
      <c r="BL35" s="310">
        <f t="shared" si="48"/>
        <v>21820</v>
      </c>
      <c r="BM35" s="261">
        <v>53</v>
      </c>
      <c r="BN35" s="261">
        <f t="shared" si="49"/>
        <v>308</v>
      </c>
      <c r="BO35" s="266">
        <v>6530</v>
      </c>
      <c r="BP35" s="266">
        <v>8760</v>
      </c>
      <c r="BQ35" s="262">
        <v>48</v>
      </c>
      <c r="BR35" s="262">
        <v>104</v>
      </c>
      <c r="BS35" s="266">
        <v>6530</v>
      </c>
      <c r="BT35" s="266">
        <v>6530</v>
      </c>
      <c r="BU35" s="262">
        <v>47</v>
      </c>
      <c r="BV35" s="262">
        <v>102</v>
      </c>
      <c r="BW35" s="266">
        <v>6530</v>
      </c>
      <c r="BX35" s="266">
        <v>6530</v>
      </c>
      <c r="BY35" s="262">
        <v>46</v>
      </c>
      <c r="BZ35" s="262">
        <v>102</v>
      </c>
      <c r="CA35" s="305"/>
    </row>
    <row r="36" spans="1:79" s="313" customFormat="1" ht="42" customHeight="1" x14ac:dyDescent="0.25">
      <c r="A36" s="311"/>
      <c r="B36" s="268" t="s">
        <v>470</v>
      </c>
      <c r="C36" s="266"/>
      <c r="D36" s="266"/>
      <c r="E36" s="266">
        <v>130900</v>
      </c>
      <c r="F36" s="308"/>
      <c r="G36" s="308">
        <f t="shared" si="42"/>
        <v>130835.84999999999</v>
      </c>
      <c r="H36" s="308">
        <f t="shared" si="42"/>
        <v>131603.85999999999</v>
      </c>
      <c r="I36" s="261">
        <v>330</v>
      </c>
      <c r="J36" s="261">
        <f t="shared" si="43"/>
        <v>330</v>
      </c>
      <c r="K36" s="309"/>
      <c r="L36" s="310">
        <f t="shared" si="44"/>
        <v>36380.28</v>
      </c>
      <c r="M36" s="310">
        <f t="shared" si="44"/>
        <v>36380.28</v>
      </c>
      <c r="N36" s="261">
        <v>85</v>
      </c>
      <c r="O36" s="261">
        <f t="shared" si="50"/>
        <v>85</v>
      </c>
      <c r="P36" s="308">
        <v>12411.72</v>
      </c>
      <c r="Q36" s="308">
        <v>12411.72</v>
      </c>
      <c r="R36" s="261">
        <v>29</v>
      </c>
      <c r="S36" s="261">
        <v>29</v>
      </c>
      <c r="T36" s="308">
        <v>11556.27</v>
      </c>
      <c r="U36" s="308">
        <v>11556.27</v>
      </c>
      <c r="V36" s="261">
        <v>27</v>
      </c>
      <c r="W36" s="261">
        <v>27</v>
      </c>
      <c r="X36" s="308">
        <v>12412.29</v>
      </c>
      <c r="Y36" s="308">
        <v>12412.29</v>
      </c>
      <c r="Z36" s="261">
        <v>29</v>
      </c>
      <c r="AA36" s="261">
        <v>29</v>
      </c>
      <c r="AB36" s="309"/>
      <c r="AC36" s="310">
        <f t="shared" si="45"/>
        <v>32923.11</v>
      </c>
      <c r="AD36" s="310">
        <f t="shared" si="45"/>
        <v>32923.11</v>
      </c>
      <c r="AE36" s="261">
        <v>83</v>
      </c>
      <c r="AF36" s="261">
        <f t="shared" si="51"/>
        <v>83</v>
      </c>
      <c r="AG36" s="308">
        <v>12412.29</v>
      </c>
      <c r="AH36" s="266">
        <v>12412.29</v>
      </c>
      <c r="AI36" s="261">
        <v>29</v>
      </c>
      <c r="AJ36" s="261">
        <v>29</v>
      </c>
      <c r="AK36" s="308">
        <v>10255.41</v>
      </c>
      <c r="AL36" s="266"/>
      <c r="AM36" s="261">
        <v>27</v>
      </c>
      <c r="AN36" s="261">
        <v>27</v>
      </c>
      <c r="AO36" s="308">
        <v>10255.41</v>
      </c>
      <c r="AP36" s="266">
        <v>20510.82</v>
      </c>
      <c r="AQ36" s="261">
        <v>27</v>
      </c>
      <c r="AR36" s="261">
        <v>27</v>
      </c>
      <c r="AS36" s="309"/>
      <c r="AT36" s="310">
        <f t="shared" si="46"/>
        <v>30766.23</v>
      </c>
      <c r="AU36" s="310">
        <f t="shared" si="46"/>
        <v>20510.82</v>
      </c>
      <c r="AV36" s="261">
        <v>81</v>
      </c>
      <c r="AW36" s="261">
        <f t="shared" si="47"/>
        <v>81</v>
      </c>
      <c r="AX36" s="308">
        <v>10255.41</v>
      </c>
      <c r="AY36" s="266"/>
      <c r="AZ36" s="261">
        <v>27</v>
      </c>
      <c r="BA36" s="261">
        <v>27</v>
      </c>
      <c r="BB36" s="308">
        <v>10255.41</v>
      </c>
      <c r="BC36" s="266"/>
      <c r="BD36" s="261">
        <v>27</v>
      </c>
      <c r="BE36" s="261">
        <v>27</v>
      </c>
      <c r="BF36" s="308">
        <v>10255.41</v>
      </c>
      <c r="BG36" s="266">
        <v>20510.82</v>
      </c>
      <c r="BH36" s="261">
        <v>27</v>
      </c>
      <c r="BI36" s="261">
        <v>27</v>
      </c>
      <c r="BJ36" s="309"/>
      <c r="BK36" s="310">
        <f t="shared" si="48"/>
        <v>30766.23</v>
      </c>
      <c r="BL36" s="310">
        <f t="shared" si="48"/>
        <v>41789.65</v>
      </c>
      <c r="BM36" s="261">
        <v>81</v>
      </c>
      <c r="BN36" s="261">
        <f t="shared" si="49"/>
        <v>81</v>
      </c>
      <c r="BO36" s="266">
        <v>10255.41</v>
      </c>
      <c r="BP36" s="266">
        <v>20510.82</v>
      </c>
      <c r="BQ36" s="262">
        <v>27</v>
      </c>
      <c r="BR36" s="262">
        <v>27</v>
      </c>
      <c r="BS36" s="266">
        <v>10255.41</v>
      </c>
      <c r="BT36" s="266">
        <v>10255.41</v>
      </c>
      <c r="BU36" s="262">
        <v>27</v>
      </c>
      <c r="BV36" s="262">
        <v>27</v>
      </c>
      <c r="BW36" s="266">
        <v>10255.41</v>
      </c>
      <c r="BX36" s="266">
        <v>11023.42</v>
      </c>
      <c r="BY36" s="262">
        <v>27</v>
      </c>
      <c r="BZ36" s="262">
        <v>27</v>
      </c>
      <c r="CA36" s="305"/>
    </row>
    <row r="37" spans="1:79" s="313" customFormat="1" ht="42" customHeight="1" x14ac:dyDescent="0.25">
      <c r="A37" s="311"/>
      <c r="B37" s="268" t="s">
        <v>471</v>
      </c>
      <c r="C37" s="266"/>
      <c r="D37" s="266"/>
      <c r="E37" s="266">
        <v>662300</v>
      </c>
      <c r="F37" s="308"/>
      <c r="G37" s="308">
        <f t="shared" si="42"/>
        <v>662240.66</v>
      </c>
      <c r="H37" s="308">
        <f t="shared" si="42"/>
        <v>662240.66</v>
      </c>
      <c r="I37" s="261">
        <v>607</v>
      </c>
      <c r="J37" s="261">
        <f t="shared" si="43"/>
        <v>1944</v>
      </c>
      <c r="K37" s="309"/>
      <c r="L37" s="310">
        <f t="shared" si="44"/>
        <v>165570</v>
      </c>
      <c r="M37" s="310">
        <f t="shared" si="44"/>
        <v>165570</v>
      </c>
      <c r="N37" s="261">
        <v>201</v>
      </c>
      <c r="O37" s="261">
        <f t="shared" si="50"/>
        <v>560</v>
      </c>
      <c r="P37" s="308">
        <v>55190</v>
      </c>
      <c r="Q37" s="308">
        <v>55190</v>
      </c>
      <c r="R37" s="261">
        <v>98</v>
      </c>
      <c r="S37" s="261">
        <v>176</v>
      </c>
      <c r="T37" s="308">
        <v>55190</v>
      </c>
      <c r="U37" s="308">
        <v>30380</v>
      </c>
      <c r="V37" s="261">
        <v>110</v>
      </c>
      <c r="W37" s="261">
        <v>212</v>
      </c>
      <c r="X37" s="308">
        <v>55190</v>
      </c>
      <c r="Y37" s="308">
        <v>80000</v>
      </c>
      <c r="Z37" s="261">
        <v>124</v>
      </c>
      <c r="AA37" s="261">
        <v>172</v>
      </c>
      <c r="AB37" s="309"/>
      <c r="AC37" s="310">
        <f t="shared" si="45"/>
        <v>165570</v>
      </c>
      <c r="AD37" s="310">
        <f t="shared" si="45"/>
        <v>165570</v>
      </c>
      <c r="AE37" s="261">
        <v>232</v>
      </c>
      <c r="AF37" s="261">
        <f t="shared" si="51"/>
        <v>514</v>
      </c>
      <c r="AG37" s="308">
        <v>55190</v>
      </c>
      <c r="AH37" s="266">
        <v>41870</v>
      </c>
      <c r="AI37" s="261">
        <v>144</v>
      </c>
      <c r="AJ37" s="261">
        <v>192</v>
      </c>
      <c r="AK37" s="308">
        <v>55190</v>
      </c>
      <c r="AL37" s="266">
        <v>68510</v>
      </c>
      <c r="AM37" s="261">
        <v>119</v>
      </c>
      <c r="AN37" s="261">
        <v>160</v>
      </c>
      <c r="AO37" s="308">
        <v>55190</v>
      </c>
      <c r="AP37" s="266">
        <v>55190</v>
      </c>
      <c r="AQ37" s="261">
        <v>113</v>
      </c>
      <c r="AR37" s="261">
        <v>162</v>
      </c>
      <c r="AS37" s="309"/>
      <c r="AT37" s="310">
        <f t="shared" si="46"/>
        <v>165570</v>
      </c>
      <c r="AU37" s="310">
        <f t="shared" si="46"/>
        <v>140760</v>
      </c>
      <c r="AV37" s="261">
        <v>206</v>
      </c>
      <c r="AW37" s="261">
        <f t="shared" si="47"/>
        <v>464</v>
      </c>
      <c r="AX37" s="308">
        <v>55190</v>
      </c>
      <c r="AY37" s="266">
        <v>55190</v>
      </c>
      <c r="AZ37" s="261">
        <v>111</v>
      </c>
      <c r="BA37" s="261">
        <v>161</v>
      </c>
      <c r="BB37" s="308">
        <v>55190</v>
      </c>
      <c r="BC37" s="266">
        <v>55190</v>
      </c>
      <c r="BD37" s="261">
        <v>115</v>
      </c>
      <c r="BE37" s="261">
        <v>159</v>
      </c>
      <c r="BF37" s="308">
        <v>55190</v>
      </c>
      <c r="BG37" s="266">
        <v>30380</v>
      </c>
      <c r="BH37" s="261">
        <v>104</v>
      </c>
      <c r="BI37" s="261">
        <v>144</v>
      </c>
      <c r="BJ37" s="309"/>
      <c r="BK37" s="310">
        <f t="shared" si="48"/>
        <v>165530.66</v>
      </c>
      <c r="BL37" s="310">
        <f t="shared" si="48"/>
        <v>190340.66</v>
      </c>
      <c r="BM37" s="261">
        <v>181</v>
      </c>
      <c r="BN37" s="261">
        <f t="shared" si="49"/>
        <v>406</v>
      </c>
      <c r="BO37" s="266">
        <v>55190</v>
      </c>
      <c r="BP37" s="266">
        <v>80000</v>
      </c>
      <c r="BQ37" s="262">
        <v>101</v>
      </c>
      <c r="BR37" s="262">
        <v>141</v>
      </c>
      <c r="BS37" s="266">
        <v>55150.66</v>
      </c>
      <c r="BT37" s="266">
        <v>55150.66</v>
      </c>
      <c r="BU37" s="262">
        <v>97</v>
      </c>
      <c r="BV37" s="262">
        <v>133</v>
      </c>
      <c r="BW37" s="266">
        <v>55190</v>
      </c>
      <c r="BX37" s="266">
        <v>55190</v>
      </c>
      <c r="BY37" s="262">
        <v>98</v>
      </c>
      <c r="BZ37" s="262">
        <v>132</v>
      </c>
      <c r="CA37" s="305"/>
    </row>
    <row r="38" spans="1:79" s="313" customFormat="1" ht="42" customHeight="1" x14ac:dyDescent="0.25">
      <c r="A38" s="311"/>
      <c r="B38" s="268" t="s">
        <v>472</v>
      </c>
      <c r="C38" s="266"/>
      <c r="D38" s="266"/>
      <c r="E38" s="266">
        <v>772000</v>
      </c>
      <c r="F38" s="308"/>
      <c r="G38" s="308">
        <f t="shared" si="42"/>
        <v>771950</v>
      </c>
      <c r="H38" s="308">
        <f t="shared" si="42"/>
        <v>771950</v>
      </c>
      <c r="I38" s="261">
        <v>424</v>
      </c>
      <c r="J38" s="261">
        <f t="shared" si="43"/>
        <v>7463</v>
      </c>
      <c r="K38" s="309"/>
      <c r="L38" s="310">
        <f t="shared" si="44"/>
        <v>132950</v>
      </c>
      <c r="M38" s="310">
        <f t="shared" si="44"/>
        <v>132950</v>
      </c>
      <c r="N38" s="261">
        <v>243</v>
      </c>
      <c r="O38" s="261">
        <f t="shared" si="50"/>
        <v>1024</v>
      </c>
      <c r="P38" s="308">
        <v>19350</v>
      </c>
      <c r="Q38" s="308">
        <v>19350</v>
      </c>
      <c r="R38" s="261">
        <v>112</v>
      </c>
      <c r="S38" s="261">
        <v>220</v>
      </c>
      <c r="T38" s="308">
        <v>56800</v>
      </c>
      <c r="U38" s="308">
        <v>42600</v>
      </c>
      <c r="V38" s="261">
        <v>190</v>
      </c>
      <c r="W38" s="261">
        <v>366</v>
      </c>
      <c r="X38" s="308">
        <v>56800</v>
      </c>
      <c r="Y38" s="308">
        <v>71000</v>
      </c>
      <c r="Z38" s="261">
        <v>232</v>
      </c>
      <c r="AA38" s="261">
        <v>438</v>
      </c>
      <c r="AB38" s="309"/>
      <c r="AC38" s="310">
        <f t="shared" si="45"/>
        <v>184600</v>
      </c>
      <c r="AD38" s="310">
        <f t="shared" si="45"/>
        <v>184600</v>
      </c>
      <c r="AE38" s="261">
        <v>314</v>
      </c>
      <c r="AF38" s="261">
        <f t="shared" si="51"/>
        <v>1632</v>
      </c>
      <c r="AG38" s="308">
        <v>56800</v>
      </c>
      <c r="AH38" s="266">
        <v>56800</v>
      </c>
      <c r="AI38" s="261">
        <v>258</v>
      </c>
      <c r="AJ38" s="261">
        <v>485</v>
      </c>
      <c r="AK38" s="308">
        <v>56800</v>
      </c>
      <c r="AL38" s="266">
        <v>56800</v>
      </c>
      <c r="AM38" s="261">
        <v>275</v>
      </c>
      <c r="AN38" s="261">
        <v>550</v>
      </c>
      <c r="AO38" s="308">
        <v>71000</v>
      </c>
      <c r="AP38" s="266">
        <v>71000</v>
      </c>
      <c r="AQ38" s="261">
        <v>306</v>
      </c>
      <c r="AR38" s="261">
        <v>597</v>
      </c>
      <c r="AS38" s="309"/>
      <c r="AT38" s="310">
        <f t="shared" si="46"/>
        <v>220100</v>
      </c>
      <c r="AU38" s="310">
        <f t="shared" si="46"/>
        <v>198800</v>
      </c>
      <c r="AV38" s="261">
        <v>361</v>
      </c>
      <c r="AW38" s="261">
        <f t="shared" si="47"/>
        <v>2176</v>
      </c>
      <c r="AX38" s="308">
        <v>71000</v>
      </c>
      <c r="AY38" s="266">
        <v>71000</v>
      </c>
      <c r="AZ38" s="261">
        <v>318</v>
      </c>
      <c r="BA38" s="261">
        <v>667</v>
      </c>
      <c r="BB38" s="308">
        <v>71000</v>
      </c>
      <c r="BC38" s="266">
        <v>71000</v>
      </c>
      <c r="BD38" s="261">
        <v>326</v>
      </c>
      <c r="BE38" s="261">
        <v>722</v>
      </c>
      <c r="BF38" s="308">
        <v>78100</v>
      </c>
      <c r="BG38" s="266">
        <v>56800</v>
      </c>
      <c r="BH38" s="261">
        <v>343</v>
      </c>
      <c r="BI38" s="261">
        <v>787</v>
      </c>
      <c r="BJ38" s="309"/>
      <c r="BK38" s="310">
        <f t="shared" si="48"/>
        <v>234300</v>
      </c>
      <c r="BL38" s="310">
        <f t="shared" si="48"/>
        <v>255600</v>
      </c>
      <c r="BM38" s="261">
        <v>387</v>
      </c>
      <c r="BN38" s="261">
        <f t="shared" si="49"/>
        <v>2631</v>
      </c>
      <c r="BO38" s="266">
        <v>78100</v>
      </c>
      <c r="BP38" s="266">
        <v>99400</v>
      </c>
      <c r="BQ38" s="262">
        <v>359</v>
      </c>
      <c r="BR38" s="262">
        <v>844</v>
      </c>
      <c r="BS38" s="266">
        <v>78100</v>
      </c>
      <c r="BT38" s="266">
        <v>78100</v>
      </c>
      <c r="BU38" s="262">
        <v>362</v>
      </c>
      <c r="BV38" s="262">
        <v>862</v>
      </c>
      <c r="BW38" s="266">
        <v>78100</v>
      </c>
      <c r="BX38" s="266">
        <v>78100</v>
      </c>
      <c r="BY38" s="262">
        <v>372</v>
      </c>
      <c r="BZ38" s="262">
        <v>925</v>
      </c>
      <c r="CA38" s="305"/>
    </row>
    <row r="39" spans="1:79" s="313" customFormat="1" ht="42" customHeight="1" x14ac:dyDescent="0.25">
      <c r="A39" s="311"/>
      <c r="B39" s="260" t="s">
        <v>473</v>
      </c>
      <c r="C39" s="266"/>
      <c r="D39" s="266"/>
      <c r="E39" s="266">
        <v>12432300</v>
      </c>
      <c r="F39" s="308"/>
      <c r="G39" s="308">
        <f t="shared" si="42"/>
        <v>12432269.399999999</v>
      </c>
      <c r="H39" s="308">
        <f t="shared" si="42"/>
        <v>12431501.390000001</v>
      </c>
      <c r="I39" s="261">
        <v>4712</v>
      </c>
      <c r="J39" s="261">
        <f t="shared" si="43"/>
        <v>420262</v>
      </c>
      <c r="K39" s="309"/>
      <c r="L39" s="310">
        <f t="shared" si="44"/>
        <v>3060120.36</v>
      </c>
      <c r="M39" s="310">
        <f t="shared" si="44"/>
        <v>3043620.36</v>
      </c>
      <c r="N39" s="261">
        <v>2247</v>
      </c>
      <c r="O39" s="261">
        <f t="shared" si="50"/>
        <v>110456</v>
      </c>
      <c r="P39" s="308">
        <v>960096.61</v>
      </c>
      <c r="Q39" s="308">
        <v>960096.61</v>
      </c>
      <c r="R39" s="261">
        <v>1508</v>
      </c>
      <c r="S39" s="261">
        <v>37449</v>
      </c>
      <c r="T39" s="308">
        <v>1071404.75</v>
      </c>
      <c r="U39" s="308">
        <v>867321.75</v>
      </c>
      <c r="V39" s="261">
        <v>1505</v>
      </c>
      <c r="W39" s="261">
        <v>38303</v>
      </c>
      <c r="X39" s="308">
        <v>1028619</v>
      </c>
      <c r="Y39" s="308">
        <v>1216202</v>
      </c>
      <c r="Z39" s="261">
        <v>1519</v>
      </c>
      <c r="AA39" s="261">
        <v>34704</v>
      </c>
      <c r="AB39" s="309"/>
      <c r="AC39" s="310">
        <f t="shared" si="45"/>
        <v>3132504</v>
      </c>
      <c r="AD39" s="310">
        <f t="shared" si="45"/>
        <v>3131754</v>
      </c>
      <c r="AE39" s="261">
        <v>2274</v>
      </c>
      <c r="AF39" s="261">
        <f t="shared" si="51"/>
        <v>107557</v>
      </c>
      <c r="AG39" s="308">
        <v>1051292</v>
      </c>
      <c r="AH39" s="266">
        <v>936052</v>
      </c>
      <c r="AI39" s="261">
        <v>1541</v>
      </c>
      <c r="AJ39" s="261">
        <v>36774</v>
      </c>
      <c r="AK39" s="308">
        <v>1051410</v>
      </c>
      <c r="AL39" s="266">
        <v>1158540</v>
      </c>
      <c r="AM39" s="261">
        <v>1456</v>
      </c>
      <c r="AN39" s="261">
        <v>34912</v>
      </c>
      <c r="AO39" s="308">
        <v>1029802</v>
      </c>
      <c r="AP39" s="266">
        <v>1037162</v>
      </c>
      <c r="AQ39" s="261">
        <v>1481</v>
      </c>
      <c r="AR39" s="261">
        <v>35871</v>
      </c>
      <c r="AS39" s="309"/>
      <c r="AT39" s="310">
        <f t="shared" si="46"/>
        <v>3097024.45</v>
      </c>
      <c r="AU39" s="310">
        <f t="shared" si="46"/>
        <v>3058224</v>
      </c>
      <c r="AV39" s="261">
        <v>2285</v>
      </c>
      <c r="AW39" s="261">
        <f t="shared" si="47"/>
        <v>101657</v>
      </c>
      <c r="AX39" s="308">
        <v>1006739</v>
      </c>
      <c r="AY39" s="266">
        <v>980889</v>
      </c>
      <c r="AZ39" s="261">
        <v>1429</v>
      </c>
      <c r="BA39" s="261">
        <v>33390</v>
      </c>
      <c r="BB39" s="308">
        <v>1035413.45</v>
      </c>
      <c r="BC39" s="266">
        <v>1077663</v>
      </c>
      <c r="BD39" s="261">
        <v>1491</v>
      </c>
      <c r="BE39" s="261">
        <v>34738</v>
      </c>
      <c r="BF39" s="308">
        <v>1054872</v>
      </c>
      <c r="BG39" s="266">
        <v>999672</v>
      </c>
      <c r="BH39" s="261">
        <v>1420</v>
      </c>
      <c r="BI39" s="261">
        <v>33529</v>
      </c>
      <c r="BJ39" s="309"/>
      <c r="BK39" s="310">
        <f t="shared" si="48"/>
        <v>3142620.59</v>
      </c>
      <c r="BL39" s="310">
        <f t="shared" si="48"/>
        <v>3197903.0300000003</v>
      </c>
      <c r="BM39" s="261">
        <v>2163</v>
      </c>
      <c r="BN39" s="261">
        <f t="shared" si="49"/>
        <v>100592</v>
      </c>
      <c r="BO39" s="266">
        <v>1038565.58</v>
      </c>
      <c r="BP39" s="266">
        <v>1068189.03</v>
      </c>
      <c r="BQ39" s="262">
        <v>1378</v>
      </c>
      <c r="BR39" s="262">
        <v>33165</v>
      </c>
      <c r="BS39" s="266">
        <v>1050727</v>
      </c>
      <c r="BT39" s="266">
        <v>1076032</v>
      </c>
      <c r="BU39" s="262">
        <v>1444</v>
      </c>
      <c r="BV39" s="262">
        <v>34341</v>
      </c>
      <c r="BW39" s="266">
        <v>1053328.01</v>
      </c>
      <c r="BX39" s="266">
        <v>1053682</v>
      </c>
      <c r="BY39" s="262">
        <v>1409</v>
      </c>
      <c r="BZ39" s="262">
        <v>33086</v>
      </c>
      <c r="CA39" s="305"/>
    </row>
    <row r="40" spans="1:79" s="313" customFormat="1" ht="42" customHeight="1" x14ac:dyDescent="0.25">
      <c r="A40" s="311"/>
      <c r="B40" s="260" t="s">
        <v>474</v>
      </c>
      <c r="C40" s="266"/>
      <c r="D40" s="266"/>
      <c r="E40" s="266">
        <v>350000</v>
      </c>
      <c r="F40" s="308"/>
      <c r="G40" s="308">
        <f t="shared" si="42"/>
        <v>349940</v>
      </c>
      <c r="H40" s="308">
        <f t="shared" si="42"/>
        <v>349940</v>
      </c>
      <c r="I40" s="261">
        <v>120</v>
      </c>
      <c r="J40" s="261">
        <f t="shared" si="43"/>
        <v>1873</v>
      </c>
      <c r="K40" s="309"/>
      <c r="L40" s="310">
        <f t="shared" si="44"/>
        <v>80000</v>
      </c>
      <c r="M40" s="310">
        <f t="shared" si="44"/>
        <v>80000</v>
      </c>
      <c r="N40" s="261">
        <v>41</v>
      </c>
      <c r="O40" s="261">
        <f t="shared" si="50"/>
        <v>477</v>
      </c>
      <c r="P40" s="308">
        <v>20000</v>
      </c>
      <c r="Q40" s="308">
        <v>20000</v>
      </c>
      <c r="R40" s="261">
        <v>20</v>
      </c>
      <c r="S40" s="261">
        <v>179</v>
      </c>
      <c r="T40" s="308">
        <v>30000</v>
      </c>
      <c r="U40" s="308">
        <v>30000</v>
      </c>
      <c r="V40" s="261">
        <v>10</v>
      </c>
      <c r="W40" s="261">
        <v>99</v>
      </c>
      <c r="X40" s="308">
        <v>30000</v>
      </c>
      <c r="Y40" s="308">
        <v>30000</v>
      </c>
      <c r="Z40" s="261">
        <v>17</v>
      </c>
      <c r="AA40" s="261">
        <v>199</v>
      </c>
      <c r="AB40" s="309"/>
      <c r="AC40" s="310">
        <f>AG40+AK40+AO40</f>
        <v>90000</v>
      </c>
      <c r="AD40" s="310">
        <f t="shared" si="45"/>
        <v>90000</v>
      </c>
      <c r="AE40" s="261">
        <v>47</v>
      </c>
      <c r="AF40" s="261">
        <f t="shared" si="51"/>
        <v>539</v>
      </c>
      <c r="AG40" s="308">
        <v>30000</v>
      </c>
      <c r="AH40" s="266">
        <v>30000</v>
      </c>
      <c r="AI40" s="261">
        <v>18</v>
      </c>
      <c r="AJ40" s="261">
        <v>184</v>
      </c>
      <c r="AK40" s="308">
        <v>30000</v>
      </c>
      <c r="AL40" s="266">
        <v>30000</v>
      </c>
      <c r="AM40" s="261">
        <v>18</v>
      </c>
      <c r="AN40" s="261">
        <v>188</v>
      </c>
      <c r="AO40" s="308">
        <v>30000</v>
      </c>
      <c r="AP40" s="266">
        <v>30000</v>
      </c>
      <c r="AQ40" s="261">
        <v>16</v>
      </c>
      <c r="AR40" s="261">
        <v>167</v>
      </c>
      <c r="AS40" s="309"/>
      <c r="AT40" s="310">
        <f>AX40+BB40+BF40</f>
        <v>90000</v>
      </c>
      <c r="AU40" s="310">
        <f>AY40+BC40+BG40</f>
        <v>90000</v>
      </c>
      <c r="AV40" s="261">
        <v>32</v>
      </c>
      <c r="AW40" s="261">
        <f t="shared" si="47"/>
        <v>422</v>
      </c>
      <c r="AX40" s="308">
        <v>30000</v>
      </c>
      <c r="AY40" s="266">
        <v>30000</v>
      </c>
      <c r="AZ40" s="261">
        <v>16</v>
      </c>
      <c r="BA40" s="261">
        <v>169</v>
      </c>
      <c r="BB40" s="308">
        <v>30000</v>
      </c>
      <c r="BC40" s="266">
        <v>30000</v>
      </c>
      <c r="BD40" s="261">
        <v>10</v>
      </c>
      <c r="BE40" s="261">
        <v>72</v>
      </c>
      <c r="BF40" s="308">
        <v>30000</v>
      </c>
      <c r="BG40" s="266">
        <v>30000</v>
      </c>
      <c r="BH40" s="261">
        <v>15</v>
      </c>
      <c r="BI40" s="261">
        <v>181</v>
      </c>
      <c r="BJ40" s="309"/>
      <c r="BK40" s="310">
        <f t="shared" si="48"/>
        <v>89940</v>
      </c>
      <c r="BL40" s="310">
        <f t="shared" si="48"/>
        <v>89940</v>
      </c>
      <c r="BM40" s="261">
        <v>37</v>
      </c>
      <c r="BN40" s="261">
        <f t="shared" si="49"/>
        <v>435</v>
      </c>
      <c r="BO40" s="266">
        <v>29940</v>
      </c>
      <c r="BP40" s="266">
        <v>29940</v>
      </c>
      <c r="BQ40" s="262">
        <v>13</v>
      </c>
      <c r="BR40" s="262">
        <v>157</v>
      </c>
      <c r="BS40" s="266">
        <v>30000</v>
      </c>
      <c r="BT40" s="266">
        <v>30000</v>
      </c>
      <c r="BU40" s="262">
        <v>18</v>
      </c>
      <c r="BV40" s="262">
        <v>147</v>
      </c>
      <c r="BW40" s="266">
        <v>30000</v>
      </c>
      <c r="BX40" s="266">
        <v>30000</v>
      </c>
      <c r="BY40" s="262">
        <v>13</v>
      </c>
      <c r="BZ40" s="262">
        <v>131</v>
      </c>
      <c r="CA40" s="305"/>
    </row>
    <row r="41" spans="1:79" s="313" customFormat="1" ht="42" customHeight="1" x14ac:dyDescent="0.25">
      <c r="A41" s="320"/>
      <c r="B41" s="268" t="s">
        <v>475</v>
      </c>
      <c r="C41" s="321"/>
      <c r="D41" s="321"/>
      <c r="E41" s="266">
        <v>567900</v>
      </c>
      <c r="F41" s="308"/>
      <c r="G41" s="308">
        <f t="shared" si="42"/>
        <v>567801</v>
      </c>
      <c r="H41" s="308">
        <f t="shared" si="42"/>
        <v>567801</v>
      </c>
      <c r="I41" s="261">
        <v>108</v>
      </c>
      <c r="J41" s="261">
        <f t="shared" si="43"/>
        <v>34729</v>
      </c>
      <c r="K41" s="309"/>
      <c r="L41" s="310">
        <f t="shared" si="44"/>
        <v>124500</v>
      </c>
      <c r="M41" s="310">
        <f t="shared" si="44"/>
        <v>124500</v>
      </c>
      <c r="N41" s="261">
        <v>97</v>
      </c>
      <c r="O41" s="261">
        <f t="shared" si="50"/>
        <v>8300</v>
      </c>
      <c r="P41" s="308">
        <v>42585</v>
      </c>
      <c r="Q41" s="308">
        <v>42585</v>
      </c>
      <c r="R41" s="261">
        <v>93</v>
      </c>
      <c r="S41" s="261">
        <v>2839</v>
      </c>
      <c r="T41" s="308">
        <v>43035</v>
      </c>
      <c r="U41" s="308">
        <v>43035</v>
      </c>
      <c r="V41" s="261">
        <v>96</v>
      </c>
      <c r="W41" s="261">
        <v>2869</v>
      </c>
      <c r="X41" s="308">
        <v>38880</v>
      </c>
      <c r="Y41" s="308">
        <v>38880</v>
      </c>
      <c r="Z41" s="261">
        <v>94</v>
      </c>
      <c r="AA41" s="261">
        <v>2592</v>
      </c>
      <c r="AB41" s="309"/>
      <c r="AC41" s="310">
        <f t="shared" si="45"/>
        <v>145852</v>
      </c>
      <c r="AD41" s="310">
        <f t="shared" si="45"/>
        <v>145852</v>
      </c>
      <c r="AE41" s="261">
        <v>99</v>
      </c>
      <c r="AF41" s="261">
        <f t="shared" si="51"/>
        <v>8932</v>
      </c>
      <c r="AG41" s="308">
        <v>44940</v>
      </c>
      <c r="AH41" s="266">
        <v>44940</v>
      </c>
      <c r="AI41" s="261">
        <v>98</v>
      </c>
      <c r="AJ41" s="261">
        <v>2996</v>
      </c>
      <c r="AK41" s="308">
        <v>49691</v>
      </c>
      <c r="AL41" s="266">
        <v>49691</v>
      </c>
      <c r="AM41" s="261">
        <v>98</v>
      </c>
      <c r="AN41" s="261">
        <v>2923</v>
      </c>
      <c r="AO41" s="308">
        <v>51221</v>
      </c>
      <c r="AP41" s="266">
        <v>51221</v>
      </c>
      <c r="AQ41" s="261">
        <v>98</v>
      </c>
      <c r="AR41" s="261">
        <v>3013</v>
      </c>
      <c r="AS41" s="309"/>
      <c r="AT41" s="310">
        <f t="shared" si="46"/>
        <v>148665</v>
      </c>
      <c r="AU41" s="310">
        <f t="shared" si="46"/>
        <v>148665</v>
      </c>
      <c r="AV41" s="261">
        <v>101</v>
      </c>
      <c r="AW41" s="261">
        <f t="shared" si="47"/>
        <v>8745</v>
      </c>
      <c r="AX41" s="308">
        <v>48824</v>
      </c>
      <c r="AY41" s="266">
        <v>48824</v>
      </c>
      <c r="AZ41" s="261">
        <v>99</v>
      </c>
      <c r="BA41" s="261">
        <v>2872</v>
      </c>
      <c r="BB41" s="308">
        <v>49708</v>
      </c>
      <c r="BC41" s="266">
        <v>49708</v>
      </c>
      <c r="BD41" s="261">
        <v>98</v>
      </c>
      <c r="BE41" s="261">
        <v>2924</v>
      </c>
      <c r="BF41" s="308">
        <v>50133</v>
      </c>
      <c r="BG41" s="266">
        <v>50133</v>
      </c>
      <c r="BH41" s="261">
        <v>99</v>
      </c>
      <c r="BI41" s="261">
        <v>2949</v>
      </c>
      <c r="BJ41" s="309"/>
      <c r="BK41" s="310">
        <f t="shared" si="48"/>
        <v>148784</v>
      </c>
      <c r="BL41" s="310">
        <f t="shared" si="48"/>
        <v>148784</v>
      </c>
      <c r="BM41" s="261">
        <v>99</v>
      </c>
      <c r="BN41" s="261">
        <f t="shared" si="49"/>
        <v>8752</v>
      </c>
      <c r="BO41" s="266">
        <v>48297</v>
      </c>
      <c r="BP41" s="266">
        <v>48297</v>
      </c>
      <c r="BQ41" s="262">
        <v>99</v>
      </c>
      <c r="BR41" s="262">
        <v>2841</v>
      </c>
      <c r="BS41" s="266">
        <v>51187</v>
      </c>
      <c r="BT41" s="266">
        <v>51187</v>
      </c>
      <c r="BU41" s="262">
        <v>99</v>
      </c>
      <c r="BV41" s="262">
        <v>3011</v>
      </c>
      <c r="BW41" s="266">
        <v>49300</v>
      </c>
      <c r="BX41" s="266">
        <v>49300</v>
      </c>
      <c r="BY41" s="262">
        <v>98</v>
      </c>
      <c r="BZ41" s="262">
        <v>2900</v>
      </c>
      <c r="CA41" s="305"/>
    </row>
    <row r="42" spans="1:79" s="306" customFormat="1" ht="47.25" customHeight="1" x14ac:dyDescent="0.2">
      <c r="A42" s="300" t="s">
        <v>376</v>
      </c>
      <c r="B42" s="301" t="s">
        <v>377</v>
      </c>
      <c r="C42" s="267">
        <v>13000000</v>
      </c>
      <c r="D42" s="267">
        <v>11290410</v>
      </c>
      <c r="E42" s="267">
        <f>SUM(E43:E47)</f>
        <v>11260400</v>
      </c>
      <c r="F42" s="303">
        <f>K42+AB42+AS42+BJ42</f>
        <v>11290410</v>
      </c>
      <c r="G42" s="304">
        <f t="shared" ref="G42:AR42" si="52">SUM(G43:G47)</f>
        <v>2095201.3199999998</v>
      </c>
      <c r="H42" s="304">
        <f t="shared" si="52"/>
        <v>11290399.459999999</v>
      </c>
      <c r="I42" s="258">
        <f t="shared" si="52"/>
        <v>6526</v>
      </c>
      <c r="J42" s="258">
        <f t="shared" si="52"/>
        <v>16448</v>
      </c>
      <c r="K42" s="267">
        <v>3275000</v>
      </c>
      <c r="L42" s="304">
        <f t="shared" si="52"/>
        <v>506644.32</v>
      </c>
      <c r="M42" s="304">
        <f t="shared" si="52"/>
        <v>3078635.49</v>
      </c>
      <c r="N42" s="258">
        <f t="shared" si="52"/>
        <v>2159</v>
      </c>
      <c r="O42" s="258">
        <f t="shared" si="52"/>
        <v>3989</v>
      </c>
      <c r="P42" s="304">
        <f t="shared" si="52"/>
        <v>170708</v>
      </c>
      <c r="Q42" s="304">
        <f t="shared" si="52"/>
        <v>303329.26</v>
      </c>
      <c r="R42" s="258">
        <f t="shared" si="52"/>
        <v>1368</v>
      </c>
      <c r="S42" s="258">
        <f t="shared" si="52"/>
        <v>1368</v>
      </c>
      <c r="T42" s="304">
        <f t="shared" si="52"/>
        <v>161843.60999999999</v>
      </c>
      <c r="U42" s="304">
        <f t="shared" si="52"/>
        <v>1631241.81</v>
      </c>
      <c r="V42" s="258">
        <f t="shared" si="52"/>
        <v>1266</v>
      </c>
      <c r="W42" s="258">
        <f t="shared" si="52"/>
        <v>1269</v>
      </c>
      <c r="X42" s="304">
        <f t="shared" si="52"/>
        <v>174092.71</v>
      </c>
      <c r="Y42" s="304">
        <f t="shared" si="52"/>
        <v>1144064.42</v>
      </c>
      <c r="Z42" s="258">
        <f t="shared" si="52"/>
        <v>1352</v>
      </c>
      <c r="AA42" s="258">
        <f t="shared" si="52"/>
        <v>1352</v>
      </c>
      <c r="AB42" s="267">
        <v>4351000</v>
      </c>
      <c r="AC42" s="304">
        <f t="shared" ref="AC42:AH42" si="53">SUM(AC43:AC47)</f>
        <v>547676.68999999994</v>
      </c>
      <c r="AD42" s="304">
        <f t="shared" si="53"/>
        <v>4546738.459999999</v>
      </c>
      <c r="AE42" s="258">
        <f t="shared" si="53"/>
        <v>2802</v>
      </c>
      <c r="AF42" s="258">
        <f t="shared" si="53"/>
        <v>4263</v>
      </c>
      <c r="AG42" s="304">
        <f t="shared" si="53"/>
        <v>184672.58000000002</v>
      </c>
      <c r="AH42" s="267">
        <f t="shared" si="53"/>
        <v>3150093.76</v>
      </c>
      <c r="AI42" s="258">
        <f t="shared" si="52"/>
        <v>1435</v>
      </c>
      <c r="AJ42" s="258">
        <f t="shared" si="52"/>
        <v>1435</v>
      </c>
      <c r="AK42" s="304">
        <f t="shared" si="52"/>
        <v>176854.40999999997</v>
      </c>
      <c r="AL42" s="267">
        <f t="shared" si="52"/>
        <v>198554.40999999997</v>
      </c>
      <c r="AM42" s="258">
        <f t="shared" si="52"/>
        <v>1386</v>
      </c>
      <c r="AN42" s="258">
        <f t="shared" si="52"/>
        <v>1386</v>
      </c>
      <c r="AO42" s="304">
        <f t="shared" si="52"/>
        <v>186149.7</v>
      </c>
      <c r="AP42" s="267">
        <f t="shared" si="52"/>
        <v>1198090.29</v>
      </c>
      <c r="AQ42" s="258">
        <f t="shared" si="52"/>
        <v>1442</v>
      </c>
      <c r="AR42" s="258">
        <f t="shared" si="52"/>
        <v>1442</v>
      </c>
      <c r="AS42" s="267">
        <v>3124000</v>
      </c>
      <c r="AT42" s="304">
        <f t="shared" ref="AT42:BZ42" si="54">SUM(AT43:AT47)</f>
        <v>529309.68000000005</v>
      </c>
      <c r="AU42" s="304">
        <f t="shared" si="54"/>
        <v>3100842.8800000004</v>
      </c>
      <c r="AV42" s="258">
        <f t="shared" si="54"/>
        <v>2256</v>
      </c>
      <c r="AW42" s="258">
        <f t="shared" si="54"/>
        <v>4155</v>
      </c>
      <c r="AX42" s="304">
        <f t="shared" si="54"/>
        <v>190029.59000000003</v>
      </c>
      <c r="AY42" s="267">
        <f t="shared" si="54"/>
        <v>424294.7</v>
      </c>
      <c r="AZ42" s="258">
        <f t="shared" si="54"/>
        <v>1468</v>
      </c>
      <c r="BA42" s="258">
        <f t="shared" si="54"/>
        <v>1468</v>
      </c>
      <c r="BB42" s="304">
        <f t="shared" si="54"/>
        <v>175934.97</v>
      </c>
      <c r="BC42" s="267">
        <f t="shared" si="54"/>
        <v>402026.33999999997</v>
      </c>
      <c r="BD42" s="258">
        <f t="shared" si="54"/>
        <v>1386</v>
      </c>
      <c r="BE42" s="258">
        <f t="shared" si="54"/>
        <v>1386</v>
      </c>
      <c r="BF42" s="304">
        <f t="shared" si="54"/>
        <v>163345.12</v>
      </c>
      <c r="BG42" s="267">
        <f t="shared" si="54"/>
        <v>2274521.8400000003</v>
      </c>
      <c r="BH42" s="258">
        <f t="shared" si="54"/>
        <v>1301</v>
      </c>
      <c r="BI42" s="258">
        <f t="shared" si="54"/>
        <v>1301</v>
      </c>
      <c r="BJ42" s="267">
        <v>540410</v>
      </c>
      <c r="BK42" s="304">
        <f t="shared" si="54"/>
        <v>511570.63</v>
      </c>
      <c r="BL42" s="304">
        <f t="shared" si="54"/>
        <v>564182.63</v>
      </c>
      <c r="BM42" s="258">
        <f>SUM(BM43:BM47)</f>
        <v>2550</v>
      </c>
      <c r="BN42" s="258">
        <f>SUM(BN43:BN47)</f>
        <v>4041</v>
      </c>
      <c r="BO42" s="267">
        <f t="shared" si="54"/>
        <v>160289.60999999999</v>
      </c>
      <c r="BP42" s="267">
        <f t="shared" si="54"/>
        <v>178901.61</v>
      </c>
      <c r="BQ42" s="259">
        <f t="shared" si="54"/>
        <v>1280</v>
      </c>
      <c r="BR42" s="259">
        <f t="shared" si="54"/>
        <v>1280</v>
      </c>
      <c r="BS42" s="267">
        <f t="shared" si="54"/>
        <v>178075.28999999998</v>
      </c>
      <c r="BT42" s="267">
        <f t="shared" si="54"/>
        <v>184751</v>
      </c>
      <c r="BU42" s="259">
        <f>SUM(BU43:BU47)</f>
        <v>1393</v>
      </c>
      <c r="BV42" s="259">
        <f>SUM(BV43:BV47)</f>
        <v>1393</v>
      </c>
      <c r="BW42" s="267">
        <f t="shared" si="54"/>
        <v>173205.72999999998</v>
      </c>
      <c r="BX42" s="267">
        <f t="shared" si="54"/>
        <v>200530.02000000002</v>
      </c>
      <c r="BY42" s="259">
        <f t="shared" si="54"/>
        <v>1368</v>
      </c>
      <c r="BZ42" s="259">
        <f t="shared" si="54"/>
        <v>1368</v>
      </c>
      <c r="CA42" s="305"/>
    </row>
    <row r="43" spans="1:79" s="313" customFormat="1" ht="45.75" customHeight="1" x14ac:dyDescent="0.25">
      <c r="A43" s="322"/>
      <c r="B43" s="260" t="s">
        <v>378</v>
      </c>
      <c r="C43" s="266"/>
      <c r="D43" s="266"/>
      <c r="E43" s="266">
        <v>1316000</v>
      </c>
      <c r="F43" s="308"/>
      <c r="G43" s="308">
        <f t="shared" ref="G43:H47" si="55">L43+AC43+AT43+BK43</f>
        <v>1315930.21</v>
      </c>
      <c r="H43" s="308">
        <f t="shared" si="55"/>
        <v>1315930.21</v>
      </c>
      <c r="I43" s="261">
        <v>1499</v>
      </c>
      <c r="J43" s="261">
        <f>O43+AF43+AW43+BN43</f>
        <v>11421</v>
      </c>
      <c r="K43" s="309"/>
      <c r="L43" s="310">
        <f t="shared" ref="L43:M47" si="56">P43+T43+X43</f>
        <v>315286.31</v>
      </c>
      <c r="M43" s="310">
        <f t="shared" si="56"/>
        <v>315286.31</v>
      </c>
      <c r="N43" s="261">
        <v>950</v>
      </c>
      <c r="O43" s="261">
        <f t="shared" si="50"/>
        <v>2780</v>
      </c>
      <c r="P43" s="308">
        <v>100190</v>
      </c>
      <c r="Q43" s="308">
        <v>100082.5</v>
      </c>
      <c r="R43" s="261">
        <v>920</v>
      </c>
      <c r="S43" s="261">
        <v>920</v>
      </c>
      <c r="T43" s="308">
        <v>107374.41</v>
      </c>
      <c r="U43" s="308">
        <v>107481.91</v>
      </c>
      <c r="V43" s="261">
        <v>927</v>
      </c>
      <c r="W43" s="261">
        <v>930</v>
      </c>
      <c r="X43" s="308">
        <v>107721.9</v>
      </c>
      <c r="Y43" s="308">
        <v>107721.9</v>
      </c>
      <c r="Z43" s="261">
        <v>930</v>
      </c>
      <c r="AA43" s="261">
        <v>930</v>
      </c>
      <c r="AB43" s="309"/>
      <c r="AC43" s="310">
        <f t="shared" ref="AC43:AD47" si="57">AG43+AK43+AO43</f>
        <v>329304.69</v>
      </c>
      <c r="AD43" s="310">
        <f t="shared" si="57"/>
        <v>327451.41000000003</v>
      </c>
      <c r="AE43" s="261">
        <v>1382</v>
      </c>
      <c r="AF43" s="261">
        <f t="shared" si="51"/>
        <v>2843</v>
      </c>
      <c r="AG43" s="308">
        <v>109575.18000000001</v>
      </c>
      <c r="AH43" s="266">
        <v>109575.18</v>
      </c>
      <c r="AI43" s="261">
        <v>946</v>
      </c>
      <c r="AJ43" s="261">
        <v>946</v>
      </c>
      <c r="AK43" s="308">
        <v>109691.01</v>
      </c>
      <c r="AL43" s="266">
        <v>109691.01</v>
      </c>
      <c r="AM43" s="261">
        <v>947</v>
      </c>
      <c r="AN43" s="261">
        <v>947</v>
      </c>
      <c r="AO43" s="308">
        <v>110038.5</v>
      </c>
      <c r="AP43" s="266">
        <v>108185.22</v>
      </c>
      <c r="AQ43" s="261">
        <v>950</v>
      </c>
      <c r="AR43" s="261">
        <v>950</v>
      </c>
      <c r="AS43" s="309"/>
      <c r="AT43" s="310">
        <f t="shared" ref="AT43:AU47" si="58">AX43+BB43+BF43</f>
        <v>333127.08</v>
      </c>
      <c r="AU43" s="310">
        <f t="shared" si="58"/>
        <v>334980.36</v>
      </c>
      <c r="AV43" s="261">
        <v>978</v>
      </c>
      <c r="AW43" s="261">
        <f>BA43+BE43+BI43</f>
        <v>2877</v>
      </c>
      <c r="AX43" s="308">
        <v>110385.99</v>
      </c>
      <c r="AY43" s="266">
        <v>110849.31</v>
      </c>
      <c r="AZ43" s="261">
        <v>953</v>
      </c>
      <c r="BA43" s="261">
        <v>953</v>
      </c>
      <c r="BB43" s="308">
        <v>111080.97</v>
      </c>
      <c r="BC43" s="266">
        <v>112470.93</v>
      </c>
      <c r="BD43" s="261">
        <v>960</v>
      </c>
      <c r="BE43" s="261">
        <v>960</v>
      </c>
      <c r="BF43" s="308">
        <v>111660.12</v>
      </c>
      <c r="BG43" s="266">
        <v>111660.12</v>
      </c>
      <c r="BH43" s="261">
        <v>964</v>
      </c>
      <c r="BI43" s="261">
        <v>964</v>
      </c>
      <c r="BJ43" s="309"/>
      <c r="BK43" s="310">
        <f t="shared" ref="BK43:BL47" si="59">BO43+BS43+BW43</f>
        <v>338212.13</v>
      </c>
      <c r="BL43" s="310">
        <f t="shared" si="59"/>
        <v>338212.13</v>
      </c>
      <c r="BM43" s="261">
        <v>1430</v>
      </c>
      <c r="BN43" s="261">
        <f>BR43+BV43+BZ43</f>
        <v>2921</v>
      </c>
      <c r="BO43" s="266">
        <v>112007.61</v>
      </c>
      <c r="BP43" s="266">
        <v>112007.61</v>
      </c>
      <c r="BQ43" s="262">
        <v>967</v>
      </c>
      <c r="BR43" s="262">
        <v>967</v>
      </c>
      <c r="BS43" s="266">
        <v>112579.29</v>
      </c>
      <c r="BT43" s="266">
        <v>111073.5</v>
      </c>
      <c r="BU43" s="262">
        <v>973</v>
      </c>
      <c r="BV43" s="262">
        <v>973</v>
      </c>
      <c r="BW43" s="266">
        <v>113625.23</v>
      </c>
      <c r="BX43" s="266">
        <v>115131.02</v>
      </c>
      <c r="BY43" s="262">
        <v>981</v>
      </c>
      <c r="BZ43" s="262">
        <v>981</v>
      </c>
      <c r="CA43" s="305"/>
    </row>
    <row r="44" spans="1:79" s="313" customFormat="1" ht="45.75" customHeight="1" x14ac:dyDescent="0.25">
      <c r="A44" s="322"/>
      <c r="B44" s="260" t="s">
        <v>379</v>
      </c>
      <c r="C44" s="266"/>
      <c r="D44" s="266"/>
      <c r="E44" s="266">
        <v>779100</v>
      </c>
      <c r="F44" s="308"/>
      <c r="G44" s="308">
        <f t="shared" si="55"/>
        <v>779271.11</v>
      </c>
      <c r="H44" s="308">
        <f t="shared" si="55"/>
        <v>779271.11</v>
      </c>
      <c r="I44" s="261">
        <v>5027</v>
      </c>
      <c r="J44" s="261">
        <f>O44+AF44+AW44+BN44</f>
        <v>5027</v>
      </c>
      <c r="K44" s="309"/>
      <c r="L44" s="310">
        <f t="shared" si="56"/>
        <v>191358.01</v>
      </c>
      <c r="M44" s="310">
        <f t="shared" si="56"/>
        <v>191358.01</v>
      </c>
      <c r="N44" s="261">
        <v>1209</v>
      </c>
      <c r="O44" s="261">
        <f t="shared" si="50"/>
        <v>1209</v>
      </c>
      <c r="P44" s="308">
        <v>70518</v>
      </c>
      <c r="Q44" s="308">
        <v>68790</v>
      </c>
      <c r="R44" s="261">
        <v>448</v>
      </c>
      <c r="S44" s="261">
        <v>448</v>
      </c>
      <c r="T44" s="308">
        <v>54469.2</v>
      </c>
      <c r="U44" s="308">
        <v>55789.2</v>
      </c>
      <c r="V44" s="261">
        <v>339</v>
      </c>
      <c r="W44" s="261">
        <v>339</v>
      </c>
      <c r="X44" s="308">
        <v>66370.81</v>
      </c>
      <c r="Y44" s="308">
        <v>66778.81</v>
      </c>
      <c r="Z44" s="261">
        <v>422</v>
      </c>
      <c r="AA44" s="261">
        <v>422</v>
      </c>
      <c r="AB44" s="309"/>
      <c r="AC44" s="310">
        <f t="shared" si="57"/>
        <v>218372</v>
      </c>
      <c r="AD44" s="310">
        <f t="shared" si="57"/>
        <v>198708.8</v>
      </c>
      <c r="AE44" s="261">
        <v>1420</v>
      </c>
      <c r="AF44" s="261">
        <f t="shared" si="51"/>
        <v>1420</v>
      </c>
      <c r="AG44" s="308">
        <v>75097.399999999994</v>
      </c>
      <c r="AH44" s="266">
        <v>70397.399999999994</v>
      </c>
      <c r="AI44" s="261">
        <v>489</v>
      </c>
      <c r="AJ44" s="261">
        <v>489</v>
      </c>
      <c r="AK44" s="308">
        <v>67163.399999999994</v>
      </c>
      <c r="AL44" s="266">
        <v>71863.399999999994</v>
      </c>
      <c r="AM44" s="261">
        <v>439</v>
      </c>
      <c r="AN44" s="261">
        <v>439</v>
      </c>
      <c r="AO44" s="308">
        <v>76111.199999999997</v>
      </c>
      <c r="AP44" s="266">
        <v>56448</v>
      </c>
      <c r="AQ44" s="261">
        <v>492</v>
      </c>
      <c r="AR44" s="261">
        <v>492</v>
      </c>
      <c r="AS44" s="309"/>
      <c r="AT44" s="310">
        <f t="shared" si="58"/>
        <v>196182.6</v>
      </c>
      <c r="AU44" s="310">
        <f t="shared" si="58"/>
        <v>214233.8</v>
      </c>
      <c r="AV44" s="261">
        <v>1278</v>
      </c>
      <c r="AW44" s="261">
        <f>BA44+BE44+BI44</f>
        <v>1278</v>
      </c>
      <c r="AX44" s="308">
        <v>79643.600000000006</v>
      </c>
      <c r="AY44" s="266">
        <v>90875.6</v>
      </c>
      <c r="AZ44" s="261">
        <v>515</v>
      </c>
      <c r="BA44" s="261">
        <v>515</v>
      </c>
      <c r="BB44" s="308">
        <v>64854</v>
      </c>
      <c r="BC44" s="266">
        <v>73285.2</v>
      </c>
      <c r="BD44" s="261">
        <v>426</v>
      </c>
      <c r="BE44" s="261">
        <v>426</v>
      </c>
      <c r="BF44" s="308">
        <v>51685</v>
      </c>
      <c r="BG44" s="266">
        <v>50073</v>
      </c>
      <c r="BH44" s="261">
        <v>337</v>
      </c>
      <c r="BI44" s="261">
        <v>337</v>
      </c>
      <c r="BJ44" s="309"/>
      <c r="BK44" s="310">
        <f t="shared" si="59"/>
        <v>173358.5</v>
      </c>
      <c r="BL44" s="310">
        <f t="shared" si="59"/>
        <v>174970.5</v>
      </c>
      <c r="BM44" s="261">
        <v>1120</v>
      </c>
      <c r="BN44" s="261">
        <f>BR44+BV44+BZ44</f>
        <v>1120</v>
      </c>
      <c r="BO44" s="266">
        <v>48282</v>
      </c>
      <c r="BP44" s="266">
        <v>49894</v>
      </c>
      <c r="BQ44" s="262">
        <v>313</v>
      </c>
      <c r="BR44" s="262">
        <v>313</v>
      </c>
      <c r="BS44" s="266">
        <v>65496</v>
      </c>
      <c r="BT44" s="266">
        <v>56677.5</v>
      </c>
      <c r="BU44" s="262">
        <v>420</v>
      </c>
      <c r="BV44" s="262">
        <v>420</v>
      </c>
      <c r="BW44" s="266">
        <v>59580.5</v>
      </c>
      <c r="BX44" s="266">
        <v>68399</v>
      </c>
      <c r="BY44" s="262">
        <v>387</v>
      </c>
      <c r="BZ44" s="262">
        <v>387</v>
      </c>
      <c r="CA44" s="305"/>
    </row>
    <row r="45" spans="1:79" s="313" customFormat="1" ht="66.75" customHeight="1" x14ac:dyDescent="0.25">
      <c r="A45" s="322"/>
      <c r="B45" s="268" t="s">
        <v>476</v>
      </c>
      <c r="C45" s="266"/>
      <c r="D45" s="266"/>
      <c r="E45" s="266">
        <v>8688800</v>
      </c>
      <c r="F45" s="308"/>
      <c r="G45" s="308">
        <f t="shared" si="55"/>
        <v>0</v>
      </c>
      <c r="H45" s="308">
        <f t="shared" si="55"/>
        <v>8718701.5399999991</v>
      </c>
      <c r="I45" s="261"/>
      <c r="J45" s="261"/>
      <c r="K45" s="309"/>
      <c r="L45" s="310">
        <f t="shared" si="56"/>
        <v>0</v>
      </c>
      <c r="M45" s="310">
        <f t="shared" si="56"/>
        <v>2366383.1700000004</v>
      </c>
      <c r="N45" s="261"/>
      <c r="O45" s="261"/>
      <c r="P45" s="308"/>
      <c r="Q45" s="308">
        <f>27035.8+32442.96</f>
        <v>59478.759999999995</v>
      </c>
      <c r="R45" s="261"/>
      <c r="S45" s="261"/>
      <c r="T45" s="308"/>
      <c r="U45" s="308">
        <f>17670.79+14865.97+176154.55+369555+52322.64+820401.75</f>
        <v>1450970.7000000002</v>
      </c>
      <c r="V45" s="261"/>
      <c r="W45" s="261"/>
      <c r="X45" s="308"/>
      <c r="Y45" s="308">
        <f>99628.85+161429.4+538934.17+55941.29</f>
        <v>855933.71000000008</v>
      </c>
      <c r="Z45" s="261"/>
      <c r="AA45" s="261"/>
      <c r="AB45" s="309"/>
      <c r="AC45" s="310">
        <f t="shared" si="57"/>
        <v>0</v>
      </c>
      <c r="AD45" s="310">
        <f t="shared" si="57"/>
        <v>3969578.2499999995</v>
      </c>
      <c r="AE45" s="261"/>
      <c r="AF45" s="261"/>
      <c r="AG45" s="308"/>
      <c r="AH45" s="266">
        <f>20612.15+1917057.78+1015451.25</f>
        <v>2953121.1799999997</v>
      </c>
      <c r="AI45" s="261"/>
      <c r="AJ45" s="261"/>
      <c r="AK45" s="308"/>
      <c r="AL45" s="266"/>
      <c r="AM45" s="261"/>
      <c r="AN45" s="261"/>
      <c r="AO45" s="308"/>
      <c r="AP45" s="266">
        <v>1016457.07</v>
      </c>
      <c r="AQ45" s="261"/>
      <c r="AR45" s="261"/>
      <c r="AS45" s="309"/>
      <c r="AT45" s="310">
        <f t="shared" si="58"/>
        <v>0</v>
      </c>
      <c r="AU45" s="310">
        <f t="shared" si="58"/>
        <v>2382740.12</v>
      </c>
      <c r="AV45" s="261"/>
      <c r="AW45" s="261">
        <f>BA45+BE45+BI45</f>
        <v>0</v>
      </c>
      <c r="AX45" s="308"/>
      <c r="AY45" s="266">
        <f>205569.79</f>
        <v>205569.79</v>
      </c>
      <c r="AZ45" s="261"/>
      <c r="BA45" s="261"/>
      <c r="BB45" s="308"/>
      <c r="BC45" s="266">
        <f>199270.21</f>
        <v>199270.21</v>
      </c>
      <c r="BD45" s="261"/>
      <c r="BE45" s="261"/>
      <c r="BF45" s="308"/>
      <c r="BG45" s="266">
        <f>1090477.84+887422.28</f>
        <v>1977900.12</v>
      </c>
      <c r="BH45" s="261"/>
      <c r="BI45" s="261"/>
      <c r="BJ45" s="309"/>
      <c r="BK45" s="310">
        <f t="shared" si="59"/>
        <v>0</v>
      </c>
      <c r="BL45" s="310">
        <f t="shared" si="59"/>
        <v>0</v>
      </c>
      <c r="BM45" s="261"/>
      <c r="BN45" s="261"/>
      <c r="BO45" s="266"/>
      <c r="BP45" s="266"/>
      <c r="BQ45" s="262"/>
      <c r="BR45" s="262"/>
      <c r="BS45" s="266"/>
      <c r="BT45" s="266"/>
      <c r="BU45" s="262"/>
      <c r="BV45" s="262"/>
      <c r="BW45" s="266"/>
      <c r="BX45" s="266"/>
      <c r="BY45" s="262"/>
      <c r="BZ45" s="262"/>
      <c r="CA45" s="305"/>
    </row>
    <row r="46" spans="1:79" s="313" customFormat="1" ht="66.75" customHeight="1" x14ac:dyDescent="0.25">
      <c r="A46" s="322"/>
      <c r="B46" s="268" t="s">
        <v>477</v>
      </c>
      <c r="C46" s="266"/>
      <c r="D46" s="266"/>
      <c r="E46" s="266">
        <v>272500</v>
      </c>
      <c r="F46" s="308"/>
      <c r="G46" s="308">
        <f t="shared" si="55"/>
        <v>0</v>
      </c>
      <c r="H46" s="308">
        <f t="shared" si="55"/>
        <v>272496.59999999998</v>
      </c>
      <c r="I46" s="261"/>
      <c r="J46" s="261"/>
      <c r="K46" s="309"/>
      <c r="L46" s="310">
        <f t="shared" si="56"/>
        <v>0</v>
      </c>
      <c r="M46" s="310">
        <f t="shared" si="56"/>
        <v>154608</v>
      </c>
      <c r="N46" s="261"/>
      <c r="O46" s="261"/>
      <c r="P46" s="308"/>
      <c r="Q46" s="308">
        <f>57978</f>
        <v>57978</v>
      </c>
      <c r="R46" s="261"/>
      <c r="S46" s="261"/>
      <c r="T46" s="308"/>
      <c r="U46" s="308"/>
      <c r="V46" s="261"/>
      <c r="W46" s="261"/>
      <c r="X46" s="308"/>
      <c r="Y46" s="308">
        <f>96630</f>
        <v>96630</v>
      </c>
      <c r="Z46" s="261"/>
      <c r="AA46" s="261"/>
      <c r="AB46" s="309"/>
      <c r="AC46" s="310">
        <f t="shared" si="57"/>
        <v>0</v>
      </c>
      <c r="AD46" s="310">
        <f t="shared" si="57"/>
        <v>0</v>
      </c>
      <c r="AE46" s="261"/>
      <c r="AF46" s="261"/>
      <c r="AG46" s="308"/>
      <c r="AH46" s="266"/>
      <c r="AI46" s="261"/>
      <c r="AJ46" s="261"/>
      <c r="AK46" s="308"/>
      <c r="AL46" s="266"/>
      <c r="AM46" s="261"/>
      <c r="AN46" s="261"/>
      <c r="AO46" s="308"/>
      <c r="AP46" s="266"/>
      <c r="AQ46" s="261"/>
      <c r="AR46" s="261"/>
      <c r="AS46" s="309"/>
      <c r="AT46" s="310">
        <f t="shared" si="58"/>
        <v>0</v>
      </c>
      <c r="AU46" s="310">
        <f t="shared" si="58"/>
        <v>117888.6</v>
      </c>
      <c r="AV46" s="261"/>
      <c r="AW46" s="261">
        <f>BA46+BE46+BI46</f>
        <v>0</v>
      </c>
      <c r="AX46" s="308"/>
      <c r="AY46" s="266"/>
      <c r="AZ46" s="261"/>
      <c r="BA46" s="261"/>
      <c r="BB46" s="308"/>
      <c r="BC46" s="266"/>
      <c r="BD46" s="261"/>
      <c r="BE46" s="261"/>
      <c r="BF46" s="308"/>
      <c r="BG46" s="266">
        <f>117888.6</f>
        <v>117888.6</v>
      </c>
      <c r="BH46" s="261"/>
      <c r="BI46" s="261"/>
      <c r="BJ46" s="309"/>
      <c r="BK46" s="310">
        <f t="shared" si="59"/>
        <v>0</v>
      </c>
      <c r="BL46" s="310">
        <f t="shared" si="59"/>
        <v>0</v>
      </c>
      <c r="BM46" s="261"/>
      <c r="BN46" s="261"/>
      <c r="BO46" s="266"/>
      <c r="BP46" s="266"/>
      <c r="BQ46" s="262"/>
      <c r="BR46" s="262"/>
      <c r="BS46" s="266"/>
      <c r="BT46" s="266"/>
      <c r="BU46" s="262"/>
      <c r="BV46" s="262"/>
      <c r="BW46" s="266"/>
      <c r="BX46" s="266"/>
      <c r="BY46" s="262"/>
      <c r="BZ46" s="262"/>
      <c r="CA46" s="305"/>
    </row>
    <row r="47" spans="1:79" s="313" customFormat="1" ht="66.75" customHeight="1" x14ac:dyDescent="0.25">
      <c r="A47" s="322"/>
      <c r="B47" s="268" t="s">
        <v>478</v>
      </c>
      <c r="C47" s="266"/>
      <c r="D47" s="266"/>
      <c r="E47" s="266">
        <v>204000</v>
      </c>
      <c r="F47" s="308"/>
      <c r="G47" s="308">
        <f t="shared" si="55"/>
        <v>0</v>
      </c>
      <c r="H47" s="308">
        <f t="shared" si="55"/>
        <v>204000</v>
      </c>
      <c r="I47" s="261"/>
      <c r="J47" s="261"/>
      <c r="K47" s="309"/>
      <c r="L47" s="310">
        <f t="shared" si="56"/>
        <v>0</v>
      </c>
      <c r="M47" s="310">
        <f t="shared" si="56"/>
        <v>51000</v>
      </c>
      <c r="N47" s="261"/>
      <c r="O47" s="261"/>
      <c r="P47" s="308"/>
      <c r="Q47" s="308">
        <v>17000</v>
      </c>
      <c r="R47" s="261"/>
      <c r="S47" s="261"/>
      <c r="T47" s="308"/>
      <c r="U47" s="308">
        <v>17000</v>
      </c>
      <c r="V47" s="261"/>
      <c r="W47" s="261"/>
      <c r="X47" s="308"/>
      <c r="Y47" s="308">
        <v>17000</v>
      </c>
      <c r="Z47" s="261"/>
      <c r="AA47" s="261"/>
      <c r="AB47" s="309"/>
      <c r="AC47" s="310">
        <f t="shared" si="57"/>
        <v>0</v>
      </c>
      <c r="AD47" s="310">
        <f t="shared" si="57"/>
        <v>51000</v>
      </c>
      <c r="AE47" s="261"/>
      <c r="AF47" s="261"/>
      <c r="AG47" s="308"/>
      <c r="AH47" s="266">
        <v>17000</v>
      </c>
      <c r="AI47" s="261"/>
      <c r="AJ47" s="261"/>
      <c r="AK47" s="308"/>
      <c r="AL47" s="266">
        <v>17000</v>
      </c>
      <c r="AM47" s="261"/>
      <c r="AN47" s="261"/>
      <c r="AO47" s="308"/>
      <c r="AP47" s="266">
        <v>17000</v>
      </c>
      <c r="AQ47" s="261"/>
      <c r="AR47" s="261"/>
      <c r="AS47" s="309"/>
      <c r="AT47" s="310">
        <f t="shared" si="58"/>
        <v>0</v>
      </c>
      <c r="AU47" s="310">
        <f t="shared" si="58"/>
        <v>51000</v>
      </c>
      <c r="AV47" s="261"/>
      <c r="AW47" s="261">
        <f>BA47+BE47+BI47</f>
        <v>0</v>
      </c>
      <c r="AX47" s="308"/>
      <c r="AY47" s="266">
        <v>17000</v>
      </c>
      <c r="AZ47" s="261"/>
      <c r="BA47" s="261"/>
      <c r="BB47" s="308"/>
      <c r="BC47" s="266">
        <v>17000</v>
      </c>
      <c r="BD47" s="261"/>
      <c r="BE47" s="261"/>
      <c r="BF47" s="308"/>
      <c r="BG47" s="266">
        <v>17000</v>
      </c>
      <c r="BH47" s="261"/>
      <c r="BI47" s="261"/>
      <c r="BJ47" s="309"/>
      <c r="BK47" s="310">
        <f t="shared" si="59"/>
        <v>0</v>
      </c>
      <c r="BL47" s="310">
        <f t="shared" si="59"/>
        <v>51000</v>
      </c>
      <c r="BM47" s="261"/>
      <c r="BN47" s="261"/>
      <c r="BO47" s="266"/>
      <c r="BP47" s="266">
        <v>17000</v>
      </c>
      <c r="BQ47" s="262"/>
      <c r="BR47" s="262"/>
      <c r="BS47" s="266"/>
      <c r="BT47" s="266">
        <v>17000</v>
      </c>
      <c r="BU47" s="262"/>
      <c r="BV47" s="262"/>
      <c r="BW47" s="266"/>
      <c r="BX47" s="266">
        <v>17000</v>
      </c>
      <c r="BY47" s="262"/>
      <c r="BZ47" s="262"/>
      <c r="CA47" s="305"/>
    </row>
    <row r="48" spans="1:79" s="324" customFormat="1" ht="42" customHeight="1" x14ac:dyDescent="0.25">
      <c r="A48" s="300" t="s">
        <v>380</v>
      </c>
      <c r="B48" s="301" t="s">
        <v>381</v>
      </c>
      <c r="C48" s="267">
        <v>2000000</v>
      </c>
      <c r="D48" s="267">
        <v>2000000</v>
      </c>
      <c r="E48" s="271">
        <f>SUM(E49:E49)</f>
        <v>2000000</v>
      </c>
      <c r="F48" s="303">
        <f>K48+AB48+AS48+BJ48</f>
        <v>2000000</v>
      </c>
      <c r="G48" s="323">
        <f>G49</f>
        <v>1999994.6400000001</v>
      </c>
      <c r="H48" s="323">
        <f>H49</f>
        <v>1999994.6400000001</v>
      </c>
      <c r="I48" s="258">
        <f>SUM(I49:I49)</f>
        <v>131</v>
      </c>
      <c r="J48" s="258">
        <f>SUM(J49:J49)</f>
        <v>7711</v>
      </c>
      <c r="K48" s="271">
        <v>500000</v>
      </c>
      <c r="L48" s="323">
        <f>L49</f>
        <v>499999.98</v>
      </c>
      <c r="M48" s="323">
        <f>M49</f>
        <v>499999.98</v>
      </c>
      <c r="N48" s="258">
        <f>SUM(N49:N49)</f>
        <v>73</v>
      </c>
      <c r="O48" s="258">
        <f>SUM(O49:O49)</f>
        <v>3128</v>
      </c>
      <c r="P48" s="323">
        <f>SUM(P49:P49)</f>
        <v>166666.66</v>
      </c>
      <c r="Q48" s="323">
        <f>SUM(Q49:Q49)</f>
        <v>166666.66</v>
      </c>
      <c r="R48" s="258">
        <f t="shared" ref="R48:BZ48" si="60">SUM(R49:R49)</f>
        <v>58</v>
      </c>
      <c r="S48" s="258">
        <f t="shared" si="60"/>
        <v>1615</v>
      </c>
      <c r="T48" s="323">
        <f t="shared" si="60"/>
        <v>166666.66</v>
      </c>
      <c r="U48" s="323">
        <f t="shared" si="60"/>
        <v>166666.66</v>
      </c>
      <c r="V48" s="258">
        <f t="shared" si="60"/>
        <v>58</v>
      </c>
      <c r="W48" s="258">
        <f t="shared" si="60"/>
        <v>1056</v>
      </c>
      <c r="X48" s="323">
        <f t="shared" si="60"/>
        <v>166666.66</v>
      </c>
      <c r="Y48" s="323">
        <f t="shared" si="60"/>
        <v>166666.66</v>
      </c>
      <c r="Z48" s="258">
        <f t="shared" si="60"/>
        <v>50</v>
      </c>
      <c r="AA48" s="258">
        <f t="shared" si="60"/>
        <v>457</v>
      </c>
      <c r="AB48" s="271">
        <v>500000</v>
      </c>
      <c r="AC48" s="323">
        <f>AC49</f>
        <v>499998.66000000003</v>
      </c>
      <c r="AD48" s="323">
        <f>AD49</f>
        <v>499998.66000000003</v>
      </c>
      <c r="AE48" s="258">
        <f>SUM(AE49:AE49)</f>
        <v>73</v>
      </c>
      <c r="AF48" s="258">
        <f>SUM(AF49:AF49)</f>
        <v>1769</v>
      </c>
      <c r="AG48" s="323">
        <f>SUM(AG49:AG49)</f>
        <v>166666.66</v>
      </c>
      <c r="AH48" s="271">
        <f>SUM(AH49:AH49)</f>
        <v>166666.66</v>
      </c>
      <c r="AI48" s="258">
        <f t="shared" si="60"/>
        <v>49</v>
      </c>
      <c r="AJ48" s="258">
        <f t="shared" si="60"/>
        <v>535</v>
      </c>
      <c r="AK48" s="323">
        <f t="shared" si="60"/>
        <v>166666</v>
      </c>
      <c r="AL48" s="271">
        <f t="shared" si="60"/>
        <v>166666</v>
      </c>
      <c r="AM48" s="323">
        <f t="shared" si="60"/>
        <v>55</v>
      </c>
      <c r="AN48" s="323">
        <f t="shared" si="60"/>
        <v>684</v>
      </c>
      <c r="AO48" s="323">
        <f t="shared" si="60"/>
        <v>166666</v>
      </c>
      <c r="AP48" s="271">
        <f t="shared" si="60"/>
        <v>166666</v>
      </c>
      <c r="AQ48" s="323">
        <f t="shared" si="60"/>
        <v>54</v>
      </c>
      <c r="AR48" s="323">
        <f t="shared" si="60"/>
        <v>550</v>
      </c>
      <c r="AS48" s="271">
        <v>500000</v>
      </c>
      <c r="AT48" s="323">
        <f>AT49</f>
        <v>499998</v>
      </c>
      <c r="AU48" s="323">
        <f>AU49</f>
        <v>0</v>
      </c>
      <c r="AV48" s="258">
        <f>SUM(AV49:AV49)</f>
        <v>68</v>
      </c>
      <c r="AW48" s="258">
        <f>SUM(AW49:AW49)</f>
        <v>1497</v>
      </c>
      <c r="AX48" s="323">
        <f>SUM(AX49:AX49)</f>
        <v>166666</v>
      </c>
      <c r="AY48" s="271">
        <f>SUM(AY49:AY49)</f>
        <v>0</v>
      </c>
      <c r="AZ48" s="258">
        <f t="shared" si="60"/>
        <v>50</v>
      </c>
      <c r="BA48" s="258">
        <f t="shared" si="60"/>
        <v>536</v>
      </c>
      <c r="BB48" s="323">
        <f t="shared" si="60"/>
        <v>166666</v>
      </c>
      <c r="BC48" s="271">
        <f t="shared" si="60"/>
        <v>0</v>
      </c>
      <c r="BD48" s="258">
        <f t="shared" si="60"/>
        <v>55</v>
      </c>
      <c r="BE48" s="258">
        <f t="shared" si="60"/>
        <v>456</v>
      </c>
      <c r="BF48" s="323">
        <f t="shared" si="60"/>
        <v>166666</v>
      </c>
      <c r="BG48" s="271">
        <f t="shared" si="60"/>
        <v>0</v>
      </c>
      <c r="BH48" s="258">
        <f t="shared" si="60"/>
        <v>45</v>
      </c>
      <c r="BI48" s="258">
        <f t="shared" si="60"/>
        <v>505</v>
      </c>
      <c r="BJ48" s="271">
        <v>500000</v>
      </c>
      <c r="BK48" s="323">
        <f>BK49</f>
        <v>499998</v>
      </c>
      <c r="BL48" s="323">
        <f>BL49</f>
        <v>999996</v>
      </c>
      <c r="BM48" s="258">
        <f>SUM(BM49:BM49)</f>
        <v>68</v>
      </c>
      <c r="BN48" s="258">
        <f>SUM(BN49:BN49)</f>
        <v>1317</v>
      </c>
      <c r="BO48" s="271">
        <f t="shared" si="60"/>
        <v>166666</v>
      </c>
      <c r="BP48" s="271">
        <f t="shared" si="60"/>
        <v>666664</v>
      </c>
      <c r="BQ48" s="259">
        <f t="shared" si="60"/>
        <v>42</v>
      </c>
      <c r="BR48" s="259">
        <f t="shared" si="60"/>
        <v>203</v>
      </c>
      <c r="BS48" s="271">
        <f t="shared" si="60"/>
        <v>166666</v>
      </c>
      <c r="BT48" s="271">
        <f t="shared" si="60"/>
        <v>166666</v>
      </c>
      <c r="BU48" s="259">
        <f t="shared" si="60"/>
        <v>39</v>
      </c>
      <c r="BV48" s="259">
        <f t="shared" si="60"/>
        <v>579</v>
      </c>
      <c r="BW48" s="271">
        <f t="shared" si="60"/>
        <v>166666</v>
      </c>
      <c r="BX48" s="271">
        <f t="shared" si="60"/>
        <v>166666</v>
      </c>
      <c r="BY48" s="259">
        <f t="shared" si="60"/>
        <v>48</v>
      </c>
      <c r="BZ48" s="259">
        <f t="shared" si="60"/>
        <v>535</v>
      </c>
      <c r="CA48" s="305"/>
    </row>
    <row r="49" spans="1:79" s="324" customFormat="1" ht="47.25" customHeight="1" x14ac:dyDescent="0.25">
      <c r="A49" s="325"/>
      <c r="B49" s="260" t="s">
        <v>382</v>
      </c>
      <c r="C49" s="266"/>
      <c r="D49" s="266"/>
      <c r="E49" s="266">
        <v>2000000</v>
      </c>
      <c r="F49" s="308"/>
      <c r="G49" s="308">
        <f>L49+AC49+AT49+BK49</f>
        <v>1999994.6400000001</v>
      </c>
      <c r="H49" s="308">
        <f>M49+AD49+AU49+BL49</f>
        <v>1999994.6400000001</v>
      </c>
      <c r="I49" s="261">
        <v>131</v>
      </c>
      <c r="J49" s="261">
        <f>O49+AF49+AW49+BN49</f>
        <v>7711</v>
      </c>
      <c r="K49" s="309"/>
      <c r="L49" s="310">
        <f>P49+T49+X49</f>
        <v>499999.98</v>
      </c>
      <c r="M49" s="310">
        <f>Q49+U49+Y49</f>
        <v>499999.98</v>
      </c>
      <c r="N49" s="261">
        <v>73</v>
      </c>
      <c r="O49" s="261">
        <f>S49+W49+AA49</f>
        <v>3128</v>
      </c>
      <c r="P49" s="308">
        <v>166666.66</v>
      </c>
      <c r="Q49" s="308">
        <v>166666.66</v>
      </c>
      <c r="R49" s="261">
        <v>58</v>
      </c>
      <c r="S49" s="261">
        <v>1615</v>
      </c>
      <c r="T49" s="308">
        <v>166666.66</v>
      </c>
      <c r="U49" s="308">
        <v>166666.66</v>
      </c>
      <c r="V49" s="261">
        <v>58</v>
      </c>
      <c r="W49" s="261">
        <v>1056</v>
      </c>
      <c r="X49" s="308">
        <v>166666.66</v>
      </c>
      <c r="Y49" s="308">
        <v>166666.66</v>
      </c>
      <c r="Z49" s="261">
        <v>50</v>
      </c>
      <c r="AA49" s="261">
        <v>457</v>
      </c>
      <c r="AB49" s="309"/>
      <c r="AC49" s="310">
        <f>AG49+AK49+AO49</f>
        <v>499998.66000000003</v>
      </c>
      <c r="AD49" s="310">
        <f>AH49+AL49+AP49</f>
        <v>499998.66000000003</v>
      </c>
      <c r="AE49" s="261">
        <v>73</v>
      </c>
      <c r="AF49" s="261">
        <f>AJ49+AN49+AR49</f>
        <v>1769</v>
      </c>
      <c r="AG49" s="308">
        <v>166666.66</v>
      </c>
      <c r="AH49" s="266">
        <v>166666.66</v>
      </c>
      <c r="AI49" s="261">
        <v>49</v>
      </c>
      <c r="AJ49" s="261">
        <v>535</v>
      </c>
      <c r="AK49" s="308">
        <v>166666</v>
      </c>
      <c r="AL49" s="266">
        <v>166666</v>
      </c>
      <c r="AM49" s="261">
        <v>55</v>
      </c>
      <c r="AN49" s="261">
        <v>684</v>
      </c>
      <c r="AO49" s="308">
        <v>166666</v>
      </c>
      <c r="AP49" s="266">
        <v>166666</v>
      </c>
      <c r="AQ49" s="261">
        <v>54</v>
      </c>
      <c r="AR49" s="261">
        <v>550</v>
      </c>
      <c r="AS49" s="309"/>
      <c r="AT49" s="310">
        <f>AX49+BB49+BF49</f>
        <v>499998</v>
      </c>
      <c r="AU49" s="310">
        <f>AY49+BC49+BG49</f>
        <v>0</v>
      </c>
      <c r="AV49" s="261">
        <v>68</v>
      </c>
      <c r="AW49" s="261">
        <f>BA49+BE49+BI49</f>
        <v>1497</v>
      </c>
      <c r="AX49" s="308">
        <v>166666</v>
      </c>
      <c r="AY49" s="266"/>
      <c r="AZ49" s="261">
        <v>50</v>
      </c>
      <c r="BA49" s="261">
        <v>536</v>
      </c>
      <c r="BB49" s="308">
        <v>166666</v>
      </c>
      <c r="BC49" s="266"/>
      <c r="BD49" s="261">
        <v>55</v>
      </c>
      <c r="BE49" s="261">
        <v>456</v>
      </c>
      <c r="BF49" s="308">
        <v>166666</v>
      </c>
      <c r="BG49" s="266"/>
      <c r="BH49" s="261">
        <v>45</v>
      </c>
      <c r="BI49" s="261">
        <v>505</v>
      </c>
      <c r="BJ49" s="309"/>
      <c r="BK49" s="310">
        <f>BO49+BS49+BW49</f>
        <v>499998</v>
      </c>
      <c r="BL49" s="310">
        <f>BP49+BT49+BX49</f>
        <v>999996</v>
      </c>
      <c r="BM49" s="261">
        <v>68</v>
      </c>
      <c r="BN49" s="261">
        <f>BR49+BV49+BZ49</f>
        <v>1317</v>
      </c>
      <c r="BO49" s="266">
        <v>166666</v>
      </c>
      <c r="BP49" s="266">
        <v>666664</v>
      </c>
      <c r="BQ49" s="262">
        <v>42</v>
      </c>
      <c r="BR49" s="262">
        <v>203</v>
      </c>
      <c r="BS49" s="266">
        <v>166666</v>
      </c>
      <c r="BT49" s="266">
        <v>166666</v>
      </c>
      <c r="BU49" s="262">
        <v>39</v>
      </c>
      <c r="BV49" s="262">
        <v>579</v>
      </c>
      <c r="BW49" s="266">
        <v>166666</v>
      </c>
      <c r="BX49" s="266">
        <v>166666</v>
      </c>
      <c r="BY49" s="262">
        <v>48</v>
      </c>
      <c r="BZ49" s="262">
        <v>535</v>
      </c>
      <c r="CA49" s="305"/>
    </row>
    <row r="50" spans="1:79" s="324" customFormat="1" ht="42" customHeight="1" x14ac:dyDescent="0.25">
      <c r="A50" s="300" t="s">
        <v>383</v>
      </c>
      <c r="B50" s="301" t="s">
        <v>384</v>
      </c>
      <c r="C50" s="267">
        <v>35000000</v>
      </c>
      <c r="D50" s="267">
        <v>33813100</v>
      </c>
      <c r="E50" s="271">
        <f>SUM(E51:E56)</f>
        <v>33813100</v>
      </c>
      <c r="F50" s="303">
        <f>K50+AB50+AS50+BJ50</f>
        <v>33813100</v>
      </c>
      <c r="G50" s="323">
        <f>SUM(G51:G56)</f>
        <v>15907331.380000001</v>
      </c>
      <c r="H50" s="323">
        <f>SUM(H51:H56)</f>
        <v>33811389.530000001</v>
      </c>
      <c r="I50" s="258">
        <f>SUM(I51:I56)</f>
        <v>3339</v>
      </c>
      <c r="J50" s="258">
        <f>SUM(J51:J56)</f>
        <v>379550</v>
      </c>
      <c r="K50" s="271">
        <v>8606400</v>
      </c>
      <c r="L50" s="323">
        <f t="shared" ref="L50:AA50" si="61">SUM(L51:L56)</f>
        <v>3775171.83</v>
      </c>
      <c r="M50" s="323">
        <f t="shared" si="61"/>
        <v>6716712.8800000008</v>
      </c>
      <c r="N50" s="258">
        <f t="shared" si="61"/>
        <v>2638</v>
      </c>
      <c r="O50" s="258">
        <f t="shared" si="61"/>
        <v>90388</v>
      </c>
      <c r="P50" s="323">
        <f t="shared" si="61"/>
        <v>1311445.5900000001</v>
      </c>
      <c r="Q50" s="323">
        <f t="shared" si="61"/>
        <v>1201211.5900000001</v>
      </c>
      <c r="R50" s="258">
        <f t="shared" si="61"/>
        <v>2505</v>
      </c>
      <c r="S50" s="258">
        <f t="shared" si="61"/>
        <v>30507</v>
      </c>
      <c r="T50" s="323">
        <f t="shared" si="61"/>
        <v>1281930.74</v>
      </c>
      <c r="U50" s="323">
        <f t="shared" si="61"/>
        <v>2900261.2</v>
      </c>
      <c r="V50" s="258">
        <f t="shared" si="61"/>
        <v>2496</v>
      </c>
      <c r="W50" s="258">
        <f t="shared" si="61"/>
        <v>31162</v>
      </c>
      <c r="X50" s="323">
        <f t="shared" si="61"/>
        <v>1181795.5</v>
      </c>
      <c r="Y50" s="323">
        <f t="shared" si="61"/>
        <v>2615240.09</v>
      </c>
      <c r="Z50" s="258">
        <f t="shared" si="61"/>
        <v>2510</v>
      </c>
      <c r="AA50" s="258">
        <f t="shared" si="61"/>
        <v>28719</v>
      </c>
      <c r="AB50" s="271">
        <v>8586200</v>
      </c>
      <c r="AC50" s="323">
        <f t="shared" ref="AC50:AR50" si="62">SUM(AC51:AC56)</f>
        <v>4028631.22</v>
      </c>
      <c r="AD50" s="323">
        <f t="shared" si="62"/>
        <v>7818926.1600000001</v>
      </c>
      <c r="AE50" s="258">
        <f t="shared" si="62"/>
        <v>2756</v>
      </c>
      <c r="AF50" s="258">
        <f t="shared" si="62"/>
        <v>95185</v>
      </c>
      <c r="AG50" s="323">
        <f t="shared" si="62"/>
        <v>1360263.62</v>
      </c>
      <c r="AH50" s="271">
        <f t="shared" si="62"/>
        <v>1507068.4100000001</v>
      </c>
      <c r="AI50" s="258">
        <f t="shared" si="62"/>
        <v>2560</v>
      </c>
      <c r="AJ50" s="258">
        <f t="shared" si="62"/>
        <v>31749</v>
      </c>
      <c r="AK50" s="323">
        <f t="shared" si="62"/>
        <v>1284609.25</v>
      </c>
      <c r="AL50" s="271">
        <f t="shared" si="62"/>
        <v>3099132.0999999996</v>
      </c>
      <c r="AM50" s="258">
        <f t="shared" si="62"/>
        <v>2589</v>
      </c>
      <c r="AN50" s="258">
        <f t="shared" si="62"/>
        <v>30751</v>
      </c>
      <c r="AO50" s="323">
        <f t="shared" si="62"/>
        <v>1383758.35</v>
      </c>
      <c r="AP50" s="271">
        <f t="shared" si="62"/>
        <v>3212725.6500000004</v>
      </c>
      <c r="AQ50" s="258">
        <f t="shared" si="62"/>
        <v>2629</v>
      </c>
      <c r="AR50" s="258">
        <f t="shared" si="62"/>
        <v>32685</v>
      </c>
      <c r="AS50" s="271">
        <v>8805400</v>
      </c>
      <c r="AT50" s="323">
        <f t="shared" ref="AT50:BI50" si="63">SUM(AT51:AT56)</f>
        <v>4115498.9</v>
      </c>
      <c r="AU50" s="323">
        <f t="shared" si="63"/>
        <v>8828872.8499999996</v>
      </c>
      <c r="AV50" s="258">
        <f t="shared" si="63"/>
        <v>2810</v>
      </c>
      <c r="AW50" s="258">
        <f t="shared" si="63"/>
        <v>97349</v>
      </c>
      <c r="AX50" s="323">
        <f t="shared" si="63"/>
        <v>1373399</v>
      </c>
      <c r="AY50" s="271">
        <f t="shared" si="63"/>
        <v>2984928.85</v>
      </c>
      <c r="AZ50" s="258">
        <f t="shared" si="63"/>
        <v>2648</v>
      </c>
      <c r="BA50" s="258">
        <f t="shared" si="63"/>
        <v>32123</v>
      </c>
      <c r="BB50" s="323">
        <f t="shared" si="63"/>
        <v>1341624.77</v>
      </c>
      <c r="BC50" s="271">
        <f t="shared" si="63"/>
        <v>3013143.5599999996</v>
      </c>
      <c r="BD50" s="258">
        <f t="shared" si="63"/>
        <v>2667</v>
      </c>
      <c r="BE50" s="258">
        <f t="shared" si="63"/>
        <v>32134</v>
      </c>
      <c r="BF50" s="323">
        <f t="shared" si="63"/>
        <v>1400475.13</v>
      </c>
      <c r="BG50" s="271">
        <f t="shared" si="63"/>
        <v>2830800.44</v>
      </c>
      <c r="BH50" s="258">
        <f t="shared" si="63"/>
        <v>2665</v>
      </c>
      <c r="BI50" s="258">
        <f t="shared" si="63"/>
        <v>33092</v>
      </c>
      <c r="BJ50" s="271">
        <v>7815100</v>
      </c>
      <c r="BK50" s="323">
        <f t="shared" ref="BK50:BZ50" si="64">SUM(BK51:BK56)</f>
        <v>3988029.43</v>
      </c>
      <c r="BL50" s="323">
        <f t="shared" si="64"/>
        <v>10446877.640000001</v>
      </c>
      <c r="BM50" s="258">
        <f t="shared" si="64"/>
        <v>2802</v>
      </c>
      <c r="BN50" s="258">
        <f t="shared" si="64"/>
        <v>96628</v>
      </c>
      <c r="BO50" s="271">
        <f t="shared" si="64"/>
        <v>1275486.5</v>
      </c>
      <c r="BP50" s="271">
        <f t="shared" si="64"/>
        <v>3158988.45</v>
      </c>
      <c r="BQ50" s="259">
        <f t="shared" si="64"/>
        <v>2675</v>
      </c>
      <c r="BR50" s="259">
        <f t="shared" si="64"/>
        <v>31125</v>
      </c>
      <c r="BS50" s="271">
        <f t="shared" si="64"/>
        <v>1370459.6</v>
      </c>
      <c r="BT50" s="271">
        <f t="shared" si="64"/>
        <v>2811589.6500000004</v>
      </c>
      <c r="BU50" s="259">
        <f t="shared" si="64"/>
        <v>2666</v>
      </c>
      <c r="BV50" s="259">
        <f t="shared" si="64"/>
        <v>33342</v>
      </c>
      <c r="BW50" s="271">
        <f t="shared" si="64"/>
        <v>1342083.33</v>
      </c>
      <c r="BX50" s="271">
        <f t="shared" si="64"/>
        <v>4476299.54</v>
      </c>
      <c r="BY50" s="259">
        <f t="shared" si="64"/>
        <v>2656</v>
      </c>
      <c r="BZ50" s="259">
        <f t="shared" si="64"/>
        <v>32161</v>
      </c>
      <c r="CA50" s="305"/>
    </row>
    <row r="51" spans="1:79" s="324" customFormat="1" ht="42" customHeight="1" x14ac:dyDescent="0.25">
      <c r="A51" s="325"/>
      <c r="B51" s="314" t="s">
        <v>385</v>
      </c>
      <c r="C51" s="266"/>
      <c r="D51" s="266"/>
      <c r="E51" s="266">
        <v>15500900</v>
      </c>
      <c r="F51" s="308"/>
      <c r="G51" s="308">
        <f t="shared" ref="G51:H56" si="65">L51+AC51+AT51+BK51</f>
        <v>15500829</v>
      </c>
      <c r="H51" s="308">
        <f t="shared" si="65"/>
        <v>15500724</v>
      </c>
      <c r="I51" s="261">
        <v>3212</v>
      </c>
      <c r="J51" s="261">
        <f>O51+AF51+AW51+BN51</f>
        <v>378672</v>
      </c>
      <c r="K51" s="309"/>
      <c r="L51" s="310">
        <f t="shared" ref="L51:M56" si="66">P51+T51+X51</f>
        <v>3691886</v>
      </c>
      <c r="M51" s="310">
        <f t="shared" si="66"/>
        <v>3691886</v>
      </c>
      <c r="N51" s="261">
        <v>2551</v>
      </c>
      <c r="O51" s="261">
        <f>S51+W51+AA51</f>
        <v>90155</v>
      </c>
      <c r="P51" s="308">
        <v>1243325</v>
      </c>
      <c r="Q51" s="308">
        <v>1150091</v>
      </c>
      <c r="R51" s="261">
        <v>2419</v>
      </c>
      <c r="S51" s="261">
        <v>30420</v>
      </c>
      <c r="T51" s="308">
        <v>1274198</v>
      </c>
      <c r="U51" s="308">
        <v>1327785</v>
      </c>
      <c r="V51" s="261">
        <v>2421</v>
      </c>
      <c r="W51" s="261">
        <v>31087</v>
      </c>
      <c r="X51" s="308">
        <v>1174363</v>
      </c>
      <c r="Y51" s="308">
        <v>1214010</v>
      </c>
      <c r="Z51" s="261">
        <v>2439</v>
      </c>
      <c r="AA51" s="261">
        <v>28648</v>
      </c>
      <c r="AB51" s="309"/>
      <c r="AC51" s="310">
        <f t="shared" ref="AC51:AD56" si="67">AG51+AK51+AO51</f>
        <v>3887292</v>
      </c>
      <c r="AD51" s="310">
        <f t="shared" si="67"/>
        <v>3841659</v>
      </c>
      <c r="AE51" s="261">
        <v>2670</v>
      </c>
      <c r="AF51" s="261">
        <f>AJ51+AN51+AR51</f>
        <v>94968</v>
      </c>
      <c r="AG51" s="308">
        <v>1292812</v>
      </c>
      <c r="AH51" s="266">
        <v>1019055</v>
      </c>
      <c r="AI51" s="261">
        <v>2484</v>
      </c>
      <c r="AJ51" s="261">
        <v>31673</v>
      </c>
      <c r="AK51" s="308">
        <v>1257716</v>
      </c>
      <c r="AL51" s="266">
        <v>1531473</v>
      </c>
      <c r="AM51" s="261">
        <v>2519</v>
      </c>
      <c r="AN51" s="261">
        <v>30681</v>
      </c>
      <c r="AO51" s="308">
        <v>1336764</v>
      </c>
      <c r="AP51" s="266">
        <v>1291131</v>
      </c>
      <c r="AQ51" s="261">
        <v>2558</v>
      </c>
      <c r="AR51" s="261">
        <v>32614</v>
      </c>
      <c r="AS51" s="309"/>
      <c r="AT51" s="310">
        <f t="shared" ref="AT51:AU56" si="68">AX51+BB51+BF51</f>
        <v>3974253</v>
      </c>
      <c r="AU51" s="310">
        <f t="shared" si="68"/>
        <v>3853180</v>
      </c>
      <c r="AV51" s="261">
        <v>2726</v>
      </c>
      <c r="AW51" s="261">
        <f t="shared" ref="AW51:AW56" si="69">BA51+BE51+BI51</f>
        <v>97133</v>
      </c>
      <c r="AX51" s="308">
        <v>1306301</v>
      </c>
      <c r="AY51" s="266">
        <v>1351934</v>
      </c>
      <c r="AZ51" s="261">
        <v>2573</v>
      </c>
      <c r="BA51" s="261">
        <v>32048</v>
      </c>
      <c r="BB51" s="308">
        <v>1314583</v>
      </c>
      <c r="BC51" s="266">
        <v>1314583</v>
      </c>
      <c r="BD51" s="261">
        <v>2599</v>
      </c>
      <c r="BE51" s="261">
        <v>32065</v>
      </c>
      <c r="BF51" s="308">
        <v>1353369</v>
      </c>
      <c r="BG51" s="266">
        <v>1186663</v>
      </c>
      <c r="BH51" s="261">
        <v>2593</v>
      </c>
      <c r="BI51" s="261">
        <v>33020</v>
      </c>
      <c r="BJ51" s="309"/>
      <c r="BK51" s="310">
        <f t="shared" ref="BK51:BL56" si="70">BO51+BS51+BW51</f>
        <v>3947398</v>
      </c>
      <c r="BL51" s="310">
        <f t="shared" si="70"/>
        <v>4113999</v>
      </c>
      <c r="BM51" s="261">
        <v>2723</v>
      </c>
      <c r="BN51" s="261">
        <f>BR51+BV51+BZ51</f>
        <v>96416</v>
      </c>
      <c r="BO51" s="266">
        <v>1268581</v>
      </c>
      <c r="BP51" s="266">
        <f>1435287-105</f>
        <v>1435182</v>
      </c>
      <c r="BQ51" s="262">
        <v>2606</v>
      </c>
      <c r="BR51" s="262">
        <v>31056</v>
      </c>
      <c r="BS51" s="266">
        <v>1363660</v>
      </c>
      <c r="BT51" s="266">
        <v>1363660</v>
      </c>
      <c r="BU51" s="262">
        <v>2594</v>
      </c>
      <c r="BV51" s="262">
        <v>33270</v>
      </c>
      <c r="BW51" s="266">
        <v>1315157</v>
      </c>
      <c r="BX51" s="266">
        <v>1315157</v>
      </c>
      <c r="BY51" s="262">
        <v>2585</v>
      </c>
      <c r="BZ51" s="262">
        <v>32090</v>
      </c>
      <c r="CA51" s="305"/>
    </row>
    <row r="52" spans="1:79" s="324" customFormat="1" ht="42" customHeight="1" x14ac:dyDescent="0.25">
      <c r="A52" s="325"/>
      <c r="B52" s="314" t="s">
        <v>386</v>
      </c>
      <c r="C52" s="266"/>
      <c r="D52" s="266"/>
      <c r="E52" s="266">
        <v>86600</v>
      </c>
      <c r="F52" s="308"/>
      <c r="G52" s="308">
        <f t="shared" si="65"/>
        <v>86502.38</v>
      </c>
      <c r="H52" s="308">
        <f t="shared" si="65"/>
        <v>86082.38</v>
      </c>
      <c r="I52" s="261">
        <v>111</v>
      </c>
      <c r="J52" s="261">
        <f>O52+AF52+AW52+BN52</f>
        <v>862</v>
      </c>
      <c r="K52" s="309"/>
      <c r="L52" s="310">
        <f t="shared" si="66"/>
        <v>23285.83</v>
      </c>
      <c r="M52" s="310">
        <f t="shared" si="66"/>
        <v>23285.83</v>
      </c>
      <c r="N52" s="261">
        <v>84</v>
      </c>
      <c r="O52" s="261">
        <f>S52+W52+AA52</f>
        <v>230</v>
      </c>
      <c r="P52" s="308">
        <v>8120.59</v>
      </c>
      <c r="Q52" s="308">
        <v>8120.59</v>
      </c>
      <c r="R52" s="261">
        <v>83</v>
      </c>
      <c r="S52" s="261">
        <v>84</v>
      </c>
      <c r="T52" s="308">
        <v>7732.74</v>
      </c>
      <c r="U52" s="308">
        <v>7732.74</v>
      </c>
      <c r="V52" s="261">
        <v>75</v>
      </c>
      <c r="W52" s="261">
        <v>75</v>
      </c>
      <c r="X52" s="308">
        <v>7432.5</v>
      </c>
      <c r="Y52" s="308">
        <v>7432.5</v>
      </c>
      <c r="Z52" s="261">
        <v>71</v>
      </c>
      <c r="AA52" s="261">
        <v>71</v>
      </c>
      <c r="AB52" s="309"/>
      <c r="AC52" s="310">
        <f t="shared" si="67"/>
        <v>21339.22</v>
      </c>
      <c r="AD52" s="310">
        <f t="shared" si="67"/>
        <v>21339.22</v>
      </c>
      <c r="AE52" s="261">
        <v>80</v>
      </c>
      <c r="AF52" s="261">
        <f>AJ52+AN52+AR52</f>
        <v>211</v>
      </c>
      <c r="AG52" s="308">
        <v>7451.62</v>
      </c>
      <c r="AH52" s="266">
        <v>7451.62</v>
      </c>
      <c r="AI52" s="261">
        <v>73</v>
      </c>
      <c r="AJ52" s="261">
        <v>73</v>
      </c>
      <c r="AK52" s="308">
        <v>6893.25</v>
      </c>
      <c r="AL52" s="266">
        <v>6893.25</v>
      </c>
      <c r="AM52" s="261">
        <v>69</v>
      </c>
      <c r="AN52" s="261">
        <v>69</v>
      </c>
      <c r="AO52" s="308">
        <v>6994.35</v>
      </c>
      <c r="AP52" s="266">
        <v>6994.35</v>
      </c>
      <c r="AQ52" s="261">
        <v>69</v>
      </c>
      <c r="AR52" s="261">
        <v>69</v>
      </c>
      <c r="AS52" s="309"/>
      <c r="AT52" s="310">
        <f>AX52+BB52+BF52</f>
        <v>21245.9</v>
      </c>
      <c r="AU52" s="310">
        <f t="shared" si="68"/>
        <v>21245.9</v>
      </c>
      <c r="AV52" s="261">
        <v>78</v>
      </c>
      <c r="AW52" s="261">
        <f t="shared" si="69"/>
        <v>210</v>
      </c>
      <c r="AX52" s="308">
        <v>7098</v>
      </c>
      <c r="AY52" s="266">
        <v>7098</v>
      </c>
      <c r="AZ52" s="261">
        <v>72</v>
      </c>
      <c r="BA52" s="261">
        <v>72</v>
      </c>
      <c r="BB52" s="308">
        <v>7041.77</v>
      </c>
      <c r="BC52" s="266">
        <v>7041.77</v>
      </c>
      <c r="BD52" s="261">
        <v>67</v>
      </c>
      <c r="BE52" s="261">
        <v>68</v>
      </c>
      <c r="BF52" s="308">
        <v>7106.13</v>
      </c>
      <c r="BG52" s="266">
        <v>7106.13</v>
      </c>
      <c r="BH52" s="261">
        <v>70</v>
      </c>
      <c r="BI52" s="261">
        <v>70</v>
      </c>
      <c r="BJ52" s="309"/>
      <c r="BK52" s="310">
        <f t="shared" si="70"/>
        <v>20631.43</v>
      </c>
      <c r="BL52" s="310">
        <f t="shared" si="70"/>
        <v>20211.43</v>
      </c>
      <c r="BM52" s="261">
        <v>78</v>
      </c>
      <c r="BN52" s="261">
        <f>BR52+BV52+BZ52</f>
        <v>211</v>
      </c>
      <c r="BO52" s="266">
        <v>6905.5</v>
      </c>
      <c r="BP52" s="266">
        <v>6905.5</v>
      </c>
      <c r="BQ52" s="262">
        <v>69</v>
      </c>
      <c r="BR52" s="262">
        <v>69</v>
      </c>
      <c r="BS52" s="266">
        <v>6799.6</v>
      </c>
      <c r="BT52" s="266">
        <v>6379.6</v>
      </c>
      <c r="BU52" s="262">
        <v>72</v>
      </c>
      <c r="BV52" s="262">
        <v>72</v>
      </c>
      <c r="BW52" s="266">
        <v>6926.33</v>
      </c>
      <c r="BX52" s="266">
        <v>6926.33</v>
      </c>
      <c r="BY52" s="262">
        <v>70</v>
      </c>
      <c r="BZ52" s="262">
        <v>70</v>
      </c>
      <c r="CA52" s="305"/>
    </row>
    <row r="53" spans="1:79" s="324" customFormat="1" ht="42" customHeight="1" x14ac:dyDescent="0.25">
      <c r="A53" s="325"/>
      <c r="B53" s="314" t="s">
        <v>387</v>
      </c>
      <c r="C53" s="266"/>
      <c r="D53" s="266"/>
      <c r="E53" s="266">
        <v>320000</v>
      </c>
      <c r="F53" s="308"/>
      <c r="G53" s="308">
        <f t="shared" si="65"/>
        <v>320000</v>
      </c>
      <c r="H53" s="308">
        <f t="shared" si="65"/>
        <v>320000</v>
      </c>
      <c r="I53" s="261">
        <v>16</v>
      </c>
      <c r="J53" s="261">
        <f>O53+AF53+AW53+BN53</f>
        <v>16</v>
      </c>
      <c r="K53" s="309"/>
      <c r="L53" s="310">
        <f t="shared" si="66"/>
        <v>60000</v>
      </c>
      <c r="M53" s="310">
        <f t="shared" si="66"/>
        <v>60000</v>
      </c>
      <c r="N53" s="261">
        <v>3</v>
      </c>
      <c r="O53" s="261">
        <f>S53+W53+AA53</f>
        <v>3</v>
      </c>
      <c r="P53" s="308">
        <v>60000</v>
      </c>
      <c r="Q53" s="308">
        <v>40000</v>
      </c>
      <c r="R53" s="261">
        <v>3</v>
      </c>
      <c r="S53" s="261">
        <v>3</v>
      </c>
      <c r="T53" s="308">
        <v>0</v>
      </c>
      <c r="U53" s="308">
        <v>20000</v>
      </c>
      <c r="V53" s="261">
        <v>0</v>
      </c>
      <c r="W53" s="261">
        <v>0</v>
      </c>
      <c r="X53" s="308">
        <v>0</v>
      </c>
      <c r="Y53" s="308"/>
      <c r="Z53" s="261">
        <v>0</v>
      </c>
      <c r="AA53" s="261">
        <v>0</v>
      </c>
      <c r="AB53" s="309"/>
      <c r="AC53" s="310">
        <f t="shared" si="67"/>
        <v>120000</v>
      </c>
      <c r="AD53" s="310">
        <f t="shared" si="67"/>
        <v>120000</v>
      </c>
      <c r="AE53" s="261">
        <v>6</v>
      </c>
      <c r="AF53" s="261">
        <f>AJ53+AN53+AR53</f>
        <v>6</v>
      </c>
      <c r="AG53" s="308">
        <v>60000</v>
      </c>
      <c r="AH53" s="266">
        <v>60000</v>
      </c>
      <c r="AI53" s="261">
        <v>3</v>
      </c>
      <c r="AJ53" s="261">
        <v>3</v>
      </c>
      <c r="AK53" s="308">
        <v>20000</v>
      </c>
      <c r="AL53" s="266">
        <v>20000</v>
      </c>
      <c r="AM53" s="261">
        <v>1</v>
      </c>
      <c r="AN53" s="261">
        <v>1</v>
      </c>
      <c r="AO53" s="308">
        <v>40000</v>
      </c>
      <c r="AP53" s="266">
        <v>40000</v>
      </c>
      <c r="AQ53" s="261">
        <v>2</v>
      </c>
      <c r="AR53" s="261">
        <v>2</v>
      </c>
      <c r="AS53" s="309"/>
      <c r="AT53" s="310">
        <f t="shared" si="68"/>
        <v>120000</v>
      </c>
      <c r="AU53" s="310">
        <f t="shared" si="68"/>
        <v>120000</v>
      </c>
      <c r="AV53" s="261">
        <v>6</v>
      </c>
      <c r="AW53" s="261">
        <f t="shared" si="69"/>
        <v>6</v>
      </c>
      <c r="AX53" s="308">
        <v>60000</v>
      </c>
      <c r="AY53" s="266">
        <v>60000</v>
      </c>
      <c r="AZ53" s="261">
        <v>3</v>
      </c>
      <c r="BA53" s="261">
        <v>3</v>
      </c>
      <c r="BB53" s="308">
        <v>20000</v>
      </c>
      <c r="BC53" s="266">
        <v>20000</v>
      </c>
      <c r="BD53" s="261">
        <v>1</v>
      </c>
      <c r="BE53" s="261">
        <v>1</v>
      </c>
      <c r="BF53" s="308">
        <v>40000</v>
      </c>
      <c r="BG53" s="266">
        <v>40000</v>
      </c>
      <c r="BH53" s="261">
        <v>2</v>
      </c>
      <c r="BI53" s="261">
        <v>2</v>
      </c>
      <c r="BJ53" s="309"/>
      <c r="BK53" s="310">
        <f t="shared" si="70"/>
        <v>20000</v>
      </c>
      <c r="BL53" s="310">
        <f t="shared" si="70"/>
        <v>20000</v>
      </c>
      <c r="BM53" s="261">
        <v>1</v>
      </c>
      <c r="BN53" s="261">
        <f>BR53+BV53+BZ53</f>
        <v>1</v>
      </c>
      <c r="BO53" s="266">
        <v>0</v>
      </c>
      <c r="BP53" s="266"/>
      <c r="BQ53" s="262">
        <v>0</v>
      </c>
      <c r="BR53" s="262">
        <v>0</v>
      </c>
      <c r="BS53" s="266">
        <v>0</v>
      </c>
      <c r="BT53" s="266"/>
      <c r="BU53" s="262">
        <v>0</v>
      </c>
      <c r="BV53" s="262">
        <v>0</v>
      </c>
      <c r="BW53" s="266">
        <v>20000</v>
      </c>
      <c r="BX53" s="266">
        <v>20000</v>
      </c>
      <c r="BY53" s="262">
        <v>1</v>
      </c>
      <c r="BZ53" s="262">
        <v>1</v>
      </c>
      <c r="CA53" s="305"/>
    </row>
    <row r="54" spans="1:79" s="324" customFormat="1" ht="42" customHeight="1" x14ac:dyDescent="0.25">
      <c r="A54" s="325"/>
      <c r="B54" s="312" t="s">
        <v>388</v>
      </c>
      <c r="C54" s="266"/>
      <c r="D54" s="266"/>
      <c r="E54" s="266">
        <v>293100</v>
      </c>
      <c r="F54" s="308"/>
      <c r="G54" s="308">
        <f t="shared" si="65"/>
        <v>0</v>
      </c>
      <c r="H54" s="308">
        <f t="shared" si="65"/>
        <v>318420.65999999997</v>
      </c>
      <c r="I54" s="261"/>
      <c r="J54" s="261"/>
      <c r="K54" s="309"/>
      <c r="L54" s="310">
        <f t="shared" si="66"/>
        <v>0</v>
      </c>
      <c r="M54" s="310">
        <f t="shared" si="66"/>
        <v>177945.52</v>
      </c>
      <c r="N54" s="261"/>
      <c r="O54" s="261"/>
      <c r="P54" s="308"/>
      <c r="Q54" s="308"/>
      <c r="R54" s="261"/>
      <c r="S54" s="261"/>
      <c r="T54" s="308"/>
      <c r="U54" s="308">
        <f>60408.6</f>
        <v>60408.6</v>
      </c>
      <c r="V54" s="261"/>
      <c r="W54" s="261"/>
      <c r="X54" s="308"/>
      <c r="Y54" s="308">
        <f>92139.33+25397.59</f>
        <v>117536.92</v>
      </c>
      <c r="Z54" s="261"/>
      <c r="AA54" s="261"/>
      <c r="AB54" s="309"/>
      <c r="AC54" s="310">
        <f t="shared" si="67"/>
        <v>0</v>
      </c>
      <c r="AD54" s="310">
        <f t="shared" si="67"/>
        <v>7652.63</v>
      </c>
      <c r="AE54" s="261"/>
      <c r="AF54" s="261"/>
      <c r="AG54" s="308"/>
      <c r="AH54" s="266"/>
      <c r="AI54" s="261"/>
      <c r="AJ54" s="261"/>
      <c r="AK54" s="308"/>
      <c r="AL54" s="266">
        <f>7652.63</f>
        <v>7652.63</v>
      </c>
      <c r="AM54" s="261"/>
      <c r="AN54" s="261"/>
      <c r="AO54" s="308"/>
      <c r="AP54" s="266"/>
      <c r="AQ54" s="261"/>
      <c r="AR54" s="261"/>
      <c r="AS54" s="309"/>
      <c r="AT54" s="310">
        <f t="shared" si="68"/>
        <v>0</v>
      </c>
      <c r="AU54" s="310">
        <f t="shared" si="68"/>
        <v>83995.77</v>
      </c>
      <c r="AV54" s="261"/>
      <c r="AW54" s="261">
        <f t="shared" si="69"/>
        <v>0</v>
      </c>
      <c r="AX54" s="308"/>
      <c r="AY54" s="266"/>
      <c r="AZ54" s="261"/>
      <c r="BA54" s="261"/>
      <c r="BB54" s="308"/>
      <c r="BC54" s="266">
        <f>83995.77</f>
        <v>83995.77</v>
      </c>
      <c r="BD54" s="261"/>
      <c r="BE54" s="261"/>
      <c r="BF54" s="308"/>
      <c r="BG54" s="266"/>
      <c r="BH54" s="261"/>
      <c r="BI54" s="261"/>
      <c r="BJ54" s="309"/>
      <c r="BK54" s="310">
        <f t="shared" si="70"/>
        <v>0</v>
      </c>
      <c r="BL54" s="310">
        <f t="shared" si="70"/>
        <v>48826.74</v>
      </c>
      <c r="BM54" s="261"/>
      <c r="BN54" s="261"/>
      <c r="BO54" s="266"/>
      <c r="BP54" s="266">
        <f>10996.9+17297.84</f>
        <v>28294.739999999998</v>
      </c>
      <c r="BQ54" s="262"/>
      <c r="BR54" s="262"/>
      <c r="BS54" s="266"/>
      <c r="BT54" s="266"/>
      <c r="BU54" s="262"/>
      <c r="BV54" s="262"/>
      <c r="BW54" s="266"/>
      <c r="BX54" s="266">
        <f>20532</f>
        <v>20532</v>
      </c>
      <c r="BY54" s="262"/>
      <c r="BZ54" s="262"/>
      <c r="CA54" s="305"/>
    </row>
    <row r="55" spans="1:79" s="324" customFormat="1" ht="42" customHeight="1" x14ac:dyDescent="0.25">
      <c r="A55" s="317"/>
      <c r="B55" s="312" t="s">
        <v>389</v>
      </c>
      <c r="C55" s="266"/>
      <c r="D55" s="266"/>
      <c r="E55" s="266">
        <v>17576500</v>
      </c>
      <c r="F55" s="308"/>
      <c r="G55" s="308">
        <f t="shared" si="65"/>
        <v>0</v>
      </c>
      <c r="H55" s="308">
        <f t="shared" si="65"/>
        <v>17550162.490000002</v>
      </c>
      <c r="I55" s="261"/>
      <c r="J55" s="261"/>
      <c r="K55" s="309"/>
      <c r="L55" s="310">
        <f t="shared" si="66"/>
        <v>0</v>
      </c>
      <c r="M55" s="310">
        <f t="shared" si="66"/>
        <v>2754595.5300000003</v>
      </c>
      <c r="N55" s="261"/>
      <c r="O55" s="261"/>
      <c r="P55" s="308"/>
      <c r="Q55" s="308"/>
      <c r="R55" s="261"/>
      <c r="S55" s="261"/>
      <c r="T55" s="308"/>
      <c r="U55" s="308">
        <f>227280.73+114596.28+1139457.85</f>
        <v>1481334.86</v>
      </c>
      <c r="V55" s="261"/>
      <c r="W55" s="261"/>
      <c r="X55" s="308"/>
      <c r="Y55" s="308">
        <f>33282.94+1239977.73</f>
        <v>1273260.67</v>
      </c>
      <c r="Z55" s="261"/>
      <c r="AA55" s="261"/>
      <c r="AB55" s="309"/>
      <c r="AC55" s="310">
        <f t="shared" si="67"/>
        <v>0</v>
      </c>
      <c r="AD55" s="310">
        <f t="shared" si="67"/>
        <v>3819275.31</v>
      </c>
      <c r="AE55" s="261"/>
      <c r="AF55" s="261"/>
      <c r="AG55" s="308"/>
      <c r="AH55" s="266">
        <f>27429.63+80292.02+29608.96+1419.84+45473.73+210700+14209.61+8428</f>
        <v>417561.79000000004</v>
      </c>
      <c r="AI55" s="261"/>
      <c r="AJ55" s="261"/>
      <c r="AK55" s="308"/>
      <c r="AL55" s="266">
        <f>19189.76+1358555.74+29620.56+121562.49+447.97+736.7</f>
        <v>1530113.22</v>
      </c>
      <c r="AM55" s="261"/>
      <c r="AN55" s="261"/>
      <c r="AO55" s="308"/>
      <c r="AP55" s="266">
        <f>736.7+1179496.18+193846.14+40673.08+203540.61+27434.34+735.17+119870.35+44226+1468.38+35286.37+24286.98</f>
        <v>1871600.3</v>
      </c>
      <c r="AQ55" s="261"/>
      <c r="AR55" s="261"/>
      <c r="AS55" s="309"/>
      <c r="AT55" s="310">
        <f t="shared" si="68"/>
        <v>0</v>
      </c>
      <c r="AU55" s="310">
        <f t="shared" si="68"/>
        <v>4741451.18</v>
      </c>
      <c r="AV55" s="261"/>
      <c r="AW55" s="261">
        <f t="shared" si="69"/>
        <v>0</v>
      </c>
      <c r="AX55" s="308"/>
      <c r="AY55" s="266">
        <f>22908.32+1185466.34+174270.75+115865.23+28043.67+731.95+35610.59</f>
        <v>1562896.85</v>
      </c>
      <c r="AZ55" s="261"/>
      <c r="BA55" s="261"/>
      <c r="BB55" s="308"/>
      <c r="BC55" s="266">
        <f>1200155.88+25563.91+177263.45+25143.01+1083.58+116280+39033.19</f>
        <v>1584523.0199999998</v>
      </c>
      <c r="BD55" s="261"/>
      <c r="BE55" s="261"/>
      <c r="BF55" s="308"/>
      <c r="BG55" s="266">
        <f>1236658.01+27159+29475+176533.25+123255+951.05</f>
        <v>1594031.31</v>
      </c>
      <c r="BH55" s="261"/>
      <c r="BI55" s="261"/>
      <c r="BJ55" s="309"/>
      <c r="BK55" s="310">
        <f t="shared" si="70"/>
        <v>0</v>
      </c>
      <c r="BL55" s="310">
        <f t="shared" si="70"/>
        <v>6234840.4700000007</v>
      </c>
      <c r="BM55" s="261"/>
      <c r="BN55" s="261"/>
      <c r="BO55" s="266"/>
      <c r="BP55" s="266">
        <f>1252395.92+36884.79+174100+30450+25588.75+128385+736.7+36114+951.05</f>
        <v>1685606.21</v>
      </c>
      <c r="BQ55" s="262"/>
      <c r="BR55" s="262"/>
      <c r="BS55" s="266"/>
      <c r="BT55" s="266">
        <f>1256749.25+1361.6+522.35+25440.25+123219+31257.6</f>
        <v>1438550.0500000003</v>
      </c>
      <c r="BU55" s="262"/>
      <c r="BV55" s="262"/>
      <c r="BW55" s="266"/>
      <c r="BX55" s="266">
        <f>187705.09+34798.11+1917158.99+24296.25+129474+31891.2+405290.36+81496.25+116730.76+126324+55519.2</f>
        <v>3110684.21</v>
      </c>
      <c r="BY55" s="262"/>
      <c r="BZ55" s="262"/>
      <c r="CA55" s="305"/>
    </row>
    <row r="56" spans="1:79" s="324" customFormat="1" ht="42" customHeight="1" x14ac:dyDescent="0.25">
      <c r="A56" s="325"/>
      <c r="B56" s="312" t="s">
        <v>390</v>
      </c>
      <c r="C56" s="266"/>
      <c r="D56" s="266"/>
      <c r="E56" s="266">
        <v>36000</v>
      </c>
      <c r="F56" s="308"/>
      <c r="G56" s="308">
        <f t="shared" si="65"/>
        <v>0</v>
      </c>
      <c r="H56" s="308">
        <f t="shared" si="65"/>
        <v>36000</v>
      </c>
      <c r="I56" s="261"/>
      <c r="J56" s="261"/>
      <c r="K56" s="309"/>
      <c r="L56" s="310">
        <f t="shared" si="66"/>
        <v>0</v>
      </c>
      <c r="M56" s="310">
        <f t="shared" si="66"/>
        <v>9000</v>
      </c>
      <c r="N56" s="261"/>
      <c r="O56" s="261"/>
      <c r="P56" s="308"/>
      <c r="Q56" s="308">
        <v>3000</v>
      </c>
      <c r="R56" s="261"/>
      <c r="S56" s="261"/>
      <c r="T56" s="308"/>
      <c r="U56" s="308">
        <v>3000</v>
      </c>
      <c r="V56" s="261"/>
      <c r="W56" s="261"/>
      <c r="X56" s="308"/>
      <c r="Y56" s="308">
        <v>3000</v>
      </c>
      <c r="Z56" s="261"/>
      <c r="AA56" s="261"/>
      <c r="AB56" s="309"/>
      <c r="AC56" s="310">
        <f t="shared" si="67"/>
        <v>0</v>
      </c>
      <c r="AD56" s="310">
        <f t="shared" si="67"/>
        <v>9000</v>
      </c>
      <c r="AE56" s="261"/>
      <c r="AF56" s="261"/>
      <c r="AG56" s="308"/>
      <c r="AH56" s="266">
        <v>3000</v>
      </c>
      <c r="AI56" s="261"/>
      <c r="AJ56" s="261"/>
      <c r="AK56" s="308"/>
      <c r="AL56" s="266">
        <v>3000</v>
      </c>
      <c r="AM56" s="261"/>
      <c r="AN56" s="261"/>
      <c r="AO56" s="308"/>
      <c r="AP56" s="266">
        <v>3000</v>
      </c>
      <c r="AQ56" s="261"/>
      <c r="AR56" s="261"/>
      <c r="AS56" s="309"/>
      <c r="AT56" s="310">
        <f t="shared" si="68"/>
        <v>0</v>
      </c>
      <c r="AU56" s="310">
        <f t="shared" si="68"/>
        <v>9000</v>
      </c>
      <c r="AV56" s="261"/>
      <c r="AW56" s="261">
        <f t="shared" si="69"/>
        <v>0</v>
      </c>
      <c r="AX56" s="308"/>
      <c r="AY56" s="266">
        <v>3000</v>
      </c>
      <c r="AZ56" s="261"/>
      <c r="BA56" s="261"/>
      <c r="BB56" s="308"/>
      <c r="BC56" s="266">
        <v>3000</v>
      </c>
      <c r="BD56" s="261"/>
      <c r="BE56" s="261"/>
      <c r="BF56" s="308"/>
      <c r="BG56" s="266">
        <v>3000</v>
      </c>
      <c r="BH56" s="261"/>
      <c r="BI56" s="261"/>
      <c r="BJ56" s="309"/>
      <c r="BK56" s="310">
        <f t="shared" si="70"/>
        <v>0</v>
      </c>
      <c r="BL56" s="310">
        <f t="shared" si="70"/>
        <v>9000</v>
      </c>
      <c r="BM56" s="261"/>
      <c r="BN56" s="261"/>
      <c r="BO56" s="266"/>
      <c r="BP56" s="266">
        <v>3000</v>
      </c>
      <c r="BQ56" s="262"/>
      <c r="BR56" s="262"/>
      <c r="BS56" s="266"/>
      <c r="BT56" s="266">
        <v>3000</v>
      </c>
      <c r="BU56" s="262"/>
      <c r="BV56" s="262"/>
      <c r="BW56" s="266"/>
      <c r="BX56" s="266">
        <v>3000</v>
      </c>
      <c r="BY56" s="262"/>
      <c r="BZ56" s="262"/>
      <c r="CA56" s="305"/>
    </row>
    <row r="57" spans="1:79" s="313" customFormat="1" ht="42" customHeight="1" x14ac:dyDescent="0.25">
      <c r="A57" s="300" t="s">
        <v>391</v>
      </c>
      <c r="B57" s="301" t="s">
        <v>392</v>
      </c>
      <c r="C57" s="267">
        <v>2800000</v>
      </c>
      <c r="D57" s="267">
        <v>2851900</v>
      </c>
      <c r="E57" s="267">
        <f>SUM(E58:E61)</f>
        <v>2851900</v>
      </c>
      <c r="F57" s="303">
        <f>K57+AB57+AS57+BJ57</f>
        <v>2851900</v>
      </c>
      <c r="G57" s="304">
        <f t="shared" ref="G57:AR57" si="71">SUM(G58:G61)</f>
        <v>2014597.4</v>
      </c>
      <c r="H57" s="304">
        <f t="shared" si="71"/>
        <v>2851658.43</v>
      </c>
      <c r="I57" s="258">
        <f t="shared" si="71"/>
        <v>2810</v>
      </c>
      <c r="J57" s="258">
        <f t="shared" si="71"/>
        <v>48171</v>
      </c>
      <c r="K57" s="267">
        <v>727700</v>
      </c>
      <c r="L57" s="304">
        <f t="shared" si="71"/>
        <v>433217.04000000004</v>
      </c>
      <c r="M57" s="304">
        <f t="shared" si="71"/>
        <v>727027.1399999999</v>
      </c>
      <c r="N57" s="258">
        <f t="shared" si="71"/>
        <v>816</v>
      </c>
      <c r="O57" s="258">
        <f t="shared" si="71"/>
        <v>10845</v>
      </c>
      <c r="P57" s="304">
        <f t="shared" si="71"/>
        <v>149006.97</v>
      </c>
      <c r="Q57" s="304">
        <f t="shared" si="71"/>
        <v>160652.39000000001</v>
      </c>
      <c r="R57" s="258">
        <f t="shared" si="71"/>
        <v>384</v>
      </c>
      <c r="S57" s="258">
        <f t="shared" si="71"/>
        <v>3615</v>
      </c>
      <c r="T57" s="304">
        <f t="shared" si="71"/>
        <v>133910.74</v>
      </c>
      <c r="U57" s="304">
        <f t="shared" si="71"/>
        <v>325019.34999999998</v>
      </c>
      <c r="V57" s="258">
        <f t="shared" si="71"/>
        <v>428</v>
      </c>
      <c r="W57" s="258">
        <f t="shared" si="71"/>
        <v>3492</v>
      </c>
      <c r="X57" s="304">
        <f t="shared" si="71"/>
        <v>150299.33000000002</v>
      </c>
      <c r="Y57" s="304">
        <f t="shared" si="71"/>
        <v>241355.4</v>
      </c>
      <c r="Z57" s="258">
        <f t="shared" si="71"/>
        <v>458</v>
      </c>
      <c r="AA57" s="258">
        <f t="shared" si="71"/>
        <v>3738</v>
      </c>
      <c r="AB57" s="267">
        <v>937500</v>
      </c>
      <c r="AC57" s="304">
        <f t="shared" ref="AC57:AH57" si="72">SUM(AC58:AC61)</f>
        <v>419493.63</v>
      </c>
      <c r="AD57" s="304">
        <f t="shared" si="72"/>
        <v>817951.58</v>
      </c>
      <c r="AE57" s="258">
        <f t="shared" si="72"/>
        <v>830</v>
      </c>
      <c r="AF57" s="258">
        <f t="shared" si="72"/>
        <v>10810</v>
      </c>
      <c r="AG57" s="304">
        <f t="shared" si="72"/>
        <v>205242.83000000002</v>
      </c>
      <c r="AH57" s="267">
        <f t="shared" si="72"/>
        <v>196199.83</v>
      </c>
      <c r="AI57" s="258">
        <f t="shared" si="71"/>
        <v>532</v>
      </c>
      <c r="AJ57" s="258">
        <f t="shared" si="71"/>
        <v>4647</v>
      </c>
      <c r="AK57" s="304">
        <f t="shared" si="71"/>
        <v>193141.8</v>
      </c>
      <c r="AL57" s="267">
        <f t="shared" si="71"/>
        <v>541362.12</v>
      </c>
      <c r="AM57" s="258">
        <f>SUM(AM58:AM61)</f>
        <v>457</v>
      </c>
      <c r="AN57" s="258">
        <f>SUM(AN58:AN61)</f>
        <v>4241</v>
      </c>
      <c r="AO57" s="304">
        <f t="shared" si="71"/>
        <v>21109</v>
      </c>
      <c r="AP57" s="267">
        <f t="shared" si="71"/>
        <v>80389.63</v>
      </c>
      <c r="AQ57" s="258">
        <f t="shared" si="71"/>
        <v>269</v>
      </c>
      <c r="AR57" s="258">
        <f t="shared" si="71"/>
        <v>1922</v>
      </c>
      <c r="AS57" s="267">
        <v>462500</v>
      </c>
      <c r="AT57" s="304">
        <f t="shared" ref="AT57:BZ57" si="73">SUM(AT58:AT61)</f>
        <v>680069.69</v>
      </c>
      <c r="AU57" s="304">
        <f t="shared" si="73"/>
        <v>581986.73</v>
      </c>
      <c r="AV57" s="258">
        <f t="shared" si="73"/>
        <v>1082</v>
      </c>
      <c r="AW57" s="258">
        <f t="shared" si="73"/>
        <v>15016</v>
      </c>
      <c r="AX57" s="304">
        <f t="shared" si="73"/>
        <v>20669</v>
      </c>
      <c r="AY57" s="267">
        <f t="shared" si="73"/>
        <v>45415.33</v>
      </c>
      <c r="AZ57" s="258">
        <f t="shared" si="73"/>
        <v>259</v>
      </c>
      <c r="BA57" s="258">
        <f t="shared" si="73"/>
        <v>1922</v>
      </c>
      <c r="BB57" s="304">
        <f t="shared" si="73"/>
        <v>220908.14</v>
      </c>
      <c r="BC57" s="267">
        <f t="shared" si="73"/>
        <v>77004.33</v>
      </c>
      <c r="BD57" s="258">
        <f t="shared" si="73"/>
        <v>547</v>
      </c>
      <c r="BE57" s="258">
        <f t="shared" si="73"/>
        <v>4949</v>
      </c>
      <c r="BF57" s="304">
        <f t="shared" si="73"/>
        <v>438492.55</v>
      </c>
      <c r="BG57" s="267">
        <f t="shared" si="73"/>
        <v>459567.07</v>
      </c>
      <c r="BH57" s="258">
        <f t="shared" si="73"/>
        <v>757</v>
      </c>
      <c r="BI57" s="258">
        <f t="shared" si="73"/>
        <v>8145</v>
      </c>
      <c r="BJ57" s="267">
        <v>724200</v>
      </c>
      <c r="BK57" s="304">
        <f t="shared" si="73"/>
        <v>481817.04000000004</v>
      </c>
      <c r="BL57" s="304">
        <f t="shared" si="73"/>
        <v>724692.98</v>
      </c>
      <c r="BM57" s="258">
        <f>SUM(BM58:BM61)</f>
        <v>908</v>
      </c>
      <c r="BN57" s="258">
        <f>SUM(BN58:BN61)</f>
        <v>11500</v>
      </c>
      <c r="BO57" s="267">
        <f t="shared" si="73"/>
        <v>109251</v>
      </c>
      <c r="BP57" s="267">
        <f t="shared" si="73"/>
        <v>304460.28000000003</v>
      </c>
      <c r="BQ57" s="259">
        <f t="shared" si="73"/>
        <v>390</v>
      </c>
      <c r="BR57" s="259">
        <f t="shared" si="73"/>
        <v>3059</v>
      </c>
      <c r="BS57" s="267">
        <f t="shared" si="73"/>
        <v>190348.14</v>
      </c>
      <c r="BT57" s="267">
        <f t="shared" si="73"/>
        <v>188839.58000000002</v>
      </c>
      <c r="BU57" s="259">
        <f>SUM(BU58:BU61)</f>
        <v>473</v>
      </c>
      <c r="BV57" s="259">
        <f>SUM(BV58:BV61)</f>
        <v>4289</v>
      </c>
      <c r="BW57" s="267">
        <f t="shared" si="73"/>
        <v>182217.9</v>
      </c>
      <c r="BX57" s="267">
        <f t="shared" si="73"/>
        <v>231393.12</v>
      </c>
      <c r="BY57" s="259">
        <f t="shared" si="73"/>
        <v>479</v>
      </c>
      <c r="BZ57" s="259">
        <f t="shared" si="73"/>
        <v>4152</v>
      </c>
      <c r="CA57" s="305"/>
    </row>
    <row r="58" spans="1:79" s="313" customFormat="1" ht="42" customHeight="1" x14ac:dyDescent="0.25">
      <c r="A58" s="325"/>
      <c r="B58" s="312" t="s">
        <v>393</v>
      </c>
      <c r="C58" s="266"/>
      <c r="D58" s="266"/>
      <c r="E58" s="266">
        <v>233100</v>
      </c>
      <c r="F58" s="308"/>
      <c r="G58" s="308">
        <f t="shared" ref="G58:H61" si="74">L58+AC58+AT58+BK58</f>
        <v>233024</v>
      </c>
      <c r="H58" s="308">
        <f t="shared" si="74"/>
        <v>233024</v>
      </c>
      <c r="I58" s="261">
        <v>957</v>
      </c>
      <c r="J58" s="261">
        <f>O58+AF58+AW58+BN58</f>
        <v>21304</v>
      </c>
      <c r="K58" s="309"/>
      <c r="L58" s="310">
        <f t="shared" ref="L58:M61" si="75">P58+T58+X58</f>
        <v>56408</v>
      </c>
      <c r="M58" s="310">
        <f t="shared" si="75"/>
        <v>56188</v>
      </c>
      <c r="N58" s="261">
        <v>362</v>
      </c>
      <c r="O58" s="261">
        <f>S58+W58+AA58</f>
        <v>5125</v>
      </c>
      <c r="P58" s="308">
        <v>17798</v>
      </c>
      <c r="Q58" s="308">
        <v>15961</v>
      </c>
      <c r="R58" s="261">
        <v>223</v>
      </c>
      <c r="S58" s="261">
        <v>1628</v>
      </c>
      <c r="T58" s="308">
        <v>19228</v>
      </c>
      <c r="U58" s="308">
        <v>20361</v>
      </c>
      <c r="V58" s="261">
        <v>241</v>
      </c>
      <c r="W58" s="261">
        <v>1748</v>
      </c>
      <c r="X58" s="308">
        <v>19382</v>
      </c>
      <c r="Y58" s="308">
        <v>19866</v>
      </c>
      <c r="Z58" s="261">
        <v>243</v>
      </c>
      <c r="AA58" s="261">
        <v>1749</v>
      </c>
      <c r="AB58" s="309"/>
      <c r="AC58" s="310">
        <f t="shared" ref="AC58:AD61" si="76">AG58+AK58+AO58</f>
        <v>59312</v>
      </c>
      <c r="AD58" s="310">
        <f t="shared" si="76"/>
        <v>57739</v>
      </c>
      <c r="AE58" s="261">
        <v>405</v>
      </c>
      <c r="AF58" s="261">
        <f>AJ58+AN58+AR58</f>
        <v>5421</v>
      </c>
      <c r="AG58" s="308">
        <v>20218</v>
      </c>
      <c r="AH58" s="266">
        <v>9075</v>
      </c>
      <c r="AI58" s="261">
        <v>257</v>
      </c>
      <c r="AJ58" s="261">
        <v>1851</v>
      </c>
      <c r="AK58" s="308">
        <v>17985</v>
      </c>
      <c r="AL58" s="266">
        <v>23617</v>
      </c>
      <c r="AM58" s="261">
        <v>227</v>
      </c>
      <c r="AN58" s="261">
        <v>1648</v>
      </c>
      <c r="AO58" s="308">
        <v>21109</v>
      </c>
      <c r="AP58" s="266">
        <v>25047</v>
      </c>
      <c r="AQ58" s="261">
        <v>269</v>
      </c>
      <c r="AR58" s="261">
        <v>1922</v>
      </c>
      <c r="AS58" s="309"/>
      <c r="AT58" s="310">
        <f t="shared" ref="AT58:AU61" si="77">AX58+BB58+BF58</f>
        <v>61655</v>
      </c>
      <c r="AU58" s="310">
        <f t="shared" si="77"/>
        <v>61380</v>
      </c>
      <c r="AV58" s="261">
        <v>384</v>
      </c>
      <c r="AW58" s="261">
        <f>BA58+BE58+BI58</f>
        <v>5676</v>
      </c>
      <c r="AX58" s="308">
        <v>20669</v>
      </c>
      <c r="AY58" s="266">
        <v>21582</v>
      </c>
      <c r="AZ58" s="261">
        <v>259</v>
      </c>
      <c r="BA58" s="261">
        <v>1922</v>
      </c>
      <c r="BB58" s="308">
        <v>21076</v>
      </c>
      <c r="BC58" s="266">
        <v>21956</v>
      </c>
      <c r="BD58" s="261">
        <v>267</v>
      </c>
      <c r="BE58" s="261">
        <v>1922</v>
      </c>
      <c r="BF58" s="308">
        <v>19910</v>
      </c>
      <c r="BG58" s="266">
        <v>17842</v>
      </c>
      <c r="BH58" s="261">
        <v>254</v>
      </c>
      <c r="BI58" s="261">
        <v>1832</v>
      </c>
      <c r="BJ58" s="309"/>
      <c r="BK58" s="310">
        <f t="shared" ref="BK58:BL61" si="78">BO58+BS58+BW58</f>
        <v>55649</v>
      </c>
      <c r="BL58" s="310">
        <f t="shared" si="78"/>
        <v>57717</v>
      </c>
      <c r="BM58" s="261">
        <v>378</v>
      </c>
      <c r="BN58" s="261">
        <f>BR58+BV58+BZ58</f>
        <v>5082</v>
      </c>
      <c r="BO58" s="266">
        <v>18381</v>
      </c>
      <c r="BP58" s="266">
        <v>20449</v>
      </c>
      <c r="BQ58" s="262">
        <v>235</v>
      </c>
      <c r="BR58" s="262">
        <v>1686</v>
      </c>
      <c r="BS58" s="266">
        <v>19041</v>
      </c>
      <c r="BT58" s="266">
        <v>10692</v>
      </c>
      <c r="BU58" s="262">
        <v>238</v>
      </c>
      <c r="BV58" s="262">
        <v>1731</v>
      </c>
      <c r="BW58" s="266">
        <v>18227</v>
      </c>
      <c r="BX58" s="266">
        <v>26576</v>
      </c>
      <c r="BY58" s="262">
        <v>235</v>
      </c>
      <c r="BZ58" s="262">
        <v>1665</v>
      </c>
      <c r="CA58" s="305"/>
    </row>
    <row r="59" spans="1:79" s="313" customFormat="1" ht="42" customHeight="1" x14ac:dyDescent="0.25">
      <c r="A59" s="325"/>
      <c r="B59" s="312" t="s">
        <v>394</v>
      </c>
      <c r="C59" s="266"/>
      <c r="D59" s="266"/>
      <c r="E59" s="266">
        <v>1781600</v>
      </c>
      <c r="F59" s="308"/>
      <c r="G59" s="308">
        <f t="shared" si="74"/>
        <v>1781573.4</v>
      </c>
      <c r="H59" s="308">
        <f t="shared" si="74"/>
        <v>1781573.4</v>
      </c>
      <c r="I59" s="261">
        <v>1853</v>
      </c>
      <c r="J59" s="261">
        <f>O59+AF59+AW59+BN59</f>
        <v>26867</v>
      </c>
      <c r="K59" s="309"/>
      <c r="L59" s="310">
        <f t="shared" si="75"/>
        <v>376809.04000000004</v>
      </c>
      <c r="M59" s="310">
        <f t="shared" si="75"/>
        <v>347756.70999999996</v>
      </c>
      <c r="N59" s="261">
        <v>454</v>
      </c>
      <c r="O59" s="261">
        <f>S59+W59+AA59</f>
        <v>5720</v>
      </c>
      <c r="P59" s="308">
        <v>131208.97</v>
      </c>
      <c r="Q59" s="308">
        <v>98077.28</v>
      </c>
      <c r="R59" s="261">
        <v>161</v>
      </c>
      <c r="S59" s="261">
        <v>1987</v>
      </c>
      <c r="T59" s="308">
        <v>114682.74</v>
      </c>
      <c r="U59" s="308">
        <v>111476.35</v>
      </c>
      <c r="V59" s="261">
        <v>187</v>
      </c>
      <c r="W59" s="261">
        <v>1744</v>
      </c>
      <c r="X59" s="308">
        <v>130917.33</v>
      </c>
      <c r="Y59" s="308">
        <v>138203.07999999999</v>
      </c>
      <c r="Z59" s="261">
        <v>215</v>
      </c>
      <c r="AA59" s="261">
        <v>1989</v>
      </c>
      <c r="AB59" s="309"/>
      <c r="AC59" s="310">
        <f t="shared" si="76"/>
        <v>360181.63</v>
      </c>
      <c r="AD59" s="310">
        <f t="shared" si="76"/>
        <v>389233.95999999996</v>
      </c>
      <c r="AE59" s="261">
        <v>425</v>
      </c>
      <c r="AF59" s="261">
        <f>AJ59+AN59+AR59</f>
        <v>5389</v>
      </c>
      <c r="AG59" s="308">
        <v>185024.83000000002</v>
      </c>
      <c r="AH59" s="266">
        <v>163459.82999999999</v>
      </c>
      <c r="AI59" s="261">
        <v>275</v>
      </c>
      <c r="AJ59" s="261">
        <v>2796</v>
      </c>
      <c r="AK59" s="308">
        <v>175156.8</v>
      </c>
      <c r="AL59" s="266">
        <v>194264.83</v>
      </c>
      <c r="AM59" s="261">
        <v>230</v>
      </c>
      <c r="AN59" s="261">
        <v>2593</v>
      </c>
      <c r="AO59" s="308">
        <v>0</v>
      </c>
      <c r="AP59" s="266">
        <v>31509.3</v>
      </c>
      <c r="AQ59" s="261">
        <v>0</v>
      </c>
      <c r="AR59" s="261">
        <v>0</v>
      </c>
      <c r="AS59" s="309"/>
      <c r="AT59" s="310">
        <f t="shared" si="77"/>
        <v>618414.68999999994</v>
      </c>
      <c r="AU59" s="310">
        <f t="shared" si="77"/>
        <v>449106.74</v>
      </c>
      <c r="AV59" s="261">
        <v>698</v>
      </c>
      <c r="AW59" s="261">
        <f>BA59+BE59+BI59</f>
        <v>9340</v>
      </c>
      <c r="AX59" s="308">
        <v>0</v>
      </c>
      <c r="AY59" s="266"/>
      <c r="AZ59" s="261">
        <v>0</v>
      </c>
      <c r="BA59" s="261">
        <v>0</v>
      </c>
      <c r="BB59" s="308">
        <v>199832.14</v>
      </c>
      <c r="BC59" s="266">
        <v>31215</v>
      </c>
      <c r="BD59" s="261">
        <v>280</v>
      </c>
      <c r="BE59" s="261">
        <v>3027</v>
      </c>
      <c r="BF59" s="308">
        <v>418582.55</v>
      </c>
      <c r="BG59" s="266">
        <v>417891.74</v>
      </c>
      <c r="BH59" s="261">
        <v>503</v>
      </c>
      <c r="BI59" s="261">
        <v>6313</v>
      </c>
      <c r="BJ59" s="309"/>
      <c r="BK59" s="310">
        <f t="shared" si="78"/>
        <v>426168.04000000004</v>
      </c>
      <c r="BL59" s="310">
        <f t="shared" si="78"/>
        <v>595475.99</v>
      </c>
      <c r="BM59" s="261">
        <v>530</v>
      </c>
      <c r="BN59" s="261">
        <f>BR59+BV59+BZ59</f>
        <v>6418</v>
      </c>
      <c r="BO59" s="266">
        <v>90870</v>
      </c>
      <c r="BP59" s="266">
        <v>260177.95</v>
      </c>
      <c r="BQ59" s="262">
        <v>155</v>
      </c>
      <c r="BR59" s="262">
        <v>1373</v>
      </c>
      <c r="BS59" s="266">
        <v>171307.14</v>
      </c>
      <c r="BT59" s="266">
        <v>154314.25</v>
      </c>
      <c r="BU59" s="262">
        <v>235</v>
      </c>
      <c r="BV59" s="262">
        <v>2558</v>
      </c>
      <c r="BW59" s="266">
        <v>163990.9</v>
      </c>
      <c r="BX59" s="266">
        <v>180983.79</v>
      </c>
      <c r="BY59" s="262">
        <v>244</v>
      </c>
      <c r="BZ59" s="262">
        <v>2487</v>
      </c>
      <c r="CA59" s="305"/>
    </row>
    <row r="60" spans="1:79" s="313" customFormat="1" ht="52.5" customHeight="1" x14ac:dyDescent="0.25">
      <c r="A60" s="326"/>
      <c r="B60" s="312" t="s">
        <v>479</v>
      </c>
      <c r="C60" s="266"/>
      <c r="D60" s="266"/>
      <c r="E60" s="266">
        <v>551800</v>
      </c>
      <c r="F60" s="308"/>
      <c r="G60" s="308">
        <f t="shared" si="74"/>
        <v>0</v>
      </c>
      <c r="H60" s="308">
        <f t="shared" si="74"/>
        <v>551734.39</v>
      </c>
      <c r="I60" s="261"/>
      <c r="J60" s="261">
        <f>O60+AF60+AW60+BN60</f>
        <v>0</v>
      </c>
      <c r="K60" s="309"/>
      <c r="L60" s="310">
        <f t="shared" si="75"/>
        <v>0</v>
      </c>
      <c r="M60" s="310">
        <f t="shared" si="75"/>
        <v>252087.43</v>
      </c>
      <c r="N60" s="261"/>
      <c r="O60" s="261"/>
      <c r="P60" s="308"/>
      <c r="Q60" s="308">
        <f>22949.11</f>
        <v>22949.11</v>
      </c>
      <c r="R60" s="261"/>
      <c r="S60" s="261"/>
      <c r="T60" s="308"/>
      <c r="U60" s="308">
        <f>15065.85+42270.69+63837.86+38542.6+9800</f>
        <v>169517</v>
      </c>
      <c r="V60" s="261"/>
      <c r="W60" s="261"/>
      <c r="X60" s="308"/>
      <c r="Y60" s="308">
        <f>1375.52+58245.8</f>
        <v>59621.32</v>
      </c>
      <c r="Z60" s="261"/>
      <c r="AA60" s="261"/>
      <c r="AB60" s="309"/>
      <c r="AC60" s="310">
        <f t="shared" si="76"/>
        <v>0</v>
      </c>
      <c r="AD60" s="310">
        <f t="shared" si="76"/>
        <v>299646.96000000002</v>
      </c>
      <c r="AE60" s="261"/>
      <c r="AF60" s="261"/>
      <c r="AG60" s="308"/>
      <c r="AH60" s="266"/>
      <c r="AI60" s="261"/>
      <c r="AJ60" s="261"/>
      <c r="AK60" s="308"/>
      <c r="AL60" s="266">
        <f>13818.59+285828.37</f>
        <v>299646.96000000002</v>
      </c>
      <c r="AM60" s="261"/>
      <c r="AN60" s="261"/>
      <c r="AO60" s="308"/>
      <c r="AP60" s="266"/>
      <c r="AQ60" s="261"/>
      <c r="AR60" s="261"/>
      <c r="AS60" s="309"/>
      <c r="AT60" s="310">
        <f t="shared" si="77"/>
        <v>0</v>
      </c>
      <c r="AU60" s="310">
        <f t="shared" si="77"/>
        <v>0</v>
      </c>
      <c r="AV60" s="261"/>
      <c r="AW60" s="261">
        <f>BA60+BE60+BI60</f>
        <v>0</v>
      </c>
      <c r="AX60" s="308"/>
      <c r="AY60" s="266"/>
      <c r="AZ60" s="261"/>
      <c r="BA60" s="261"/>
      <c r="BB60" s="308"/>
      <c r="BC60" s="266"/>
      <c r="BD60" s="261"/>
      <c r="BE60" s="261"/>
      <c r="BF60" s="308"/>
      <c r="BG60" s="266"/>
      <c r="BH60" s="261"/>
      <c r="BI60" s="261"/>
      <c r="BJ60" s="309"/>
      <c r="BK60" s="310">
        <f t="shared" si="78"/>
        <v>0</v>
      </c>
      <c r="BL60" s="310">
        <f t="shared" si="78"/>
        <v>0</v>
      </c>
      <c r="BM60" s="261"/>
      <c r="BN60" s="261"/>
      <c r="BO60" s="266"/>
      <c r="BP60" s="266"/>
      <c r="BQ60" s="262"/>
      <c r="BR60" s="262"/>
      <c r="BS60" s="266"/>
      <c r="BT60" s="266"/>
      <c r="BU60" s="262"/>
      <c r="BV60" s="262"/>
      <c r="BW60" s="266"/>
      <c r="BX60" s="266"/>
      <c r="BY60" s="262"/>
      <c r="BZ60" s="262"/>
      <c r="CA60" s="305"/>
    </row>
    <row r="61" spans="1:79" s="313" customFormat="1" ht="66.75" customHeight="1" x14ac:dyDescent="0.25">
      <c r="A61" s="326"/>
      <c r="B61" s="312" t="s">
        <v>480</v>
      </c>
      <c r="C61" s="266"/>
      <c r="D61" s="266"/>
      <c r="E61" s="266">
        <v>285400</v>
      </c>
      <c r="F61" s="308"/>
      <c r="G61" s="308">
        <f t="shared" si="74"/>
        <v>0</v>
      </c>
      <c r="H61" s="308">
        <f t="shared" si="74"/>
        <v>285326.64</v>
      </c>
      <c r="I61" s="261"/>
      <c r="J61" s="261">
        <f>O61+AF61+AW61+BN61</f>
        <v>0</v>
      </c>
      <c r="K61" s="309"/>
      <c r="L61" s="310">
        <f t="shared" si="75"/>
        <v>0</v>
      </c>
      <c r="M61" s="310">
        <f t="shared" si="75"/>
        <v>70995</v>
      </c>
      <c r="N61" s="261"/>
      <c r="O61" s="261"/>
      <c r="P61" s="308"/>
      <c r="Q61" s="308">
        <v>23665</v>
      </c>
      <c r="R61" s="261"/>
      <c r="S61" s="261"/>
      <c r="T61" s="308"/>
      <c r="U61" s="308">
        <v>23665</v>
      </c>
      <c r="V61" s="261"/>
      <c r="W61" s="261"/>
      <c r="X61" s="308"/>
      <c r="Y61" s="308">
        <v>23665</v>
      </c>
      <c r="Z61" s="261"/>
      <c r="AA61" s="261"/>
      <c r="AB61" s="309"/>
      <c r="AC61" s="310">
        <f t="shared" si="76"/>
        <v>0</v>
      </c>
      <c r="AD61" s="310">
        <f t="shared" si="76"/>
        <v>71331.66</v>
      </c>
      <c r="AE61" s="261"/>
      <c r="AF61" s="261"/>
      <c r="AG61" s="308"/>
      <c r="AH61" s="266">
        <v>23665</v>
      </c>
      <c r="AI61" s="261"/>
      <c r="AJ61" s="261"/>
      <c r="AK61" s="308"/>
      <c r="AL61" s="266">
        <v>23833.33</v>
      </c>
      <c r="AM61" s="261"/>
      <c r="AN61" s="261"/>
      <c r="AO61" s="308"/>
      <c r="AP61" s="266">
        <v>23833.33</v>
      </c>
      <c r="AQ61" s="261"/>
      <c r="AR61" s="261"/>
      <c r="AS61" s="309"/>
      <c r="AT61" s="310">
        <f t="shared" si="77"/>
        <v>0</v>
      </c>
      <c r="AU61" s="310">
        <f t="shared" si="77"/>
        <v>71499.990000000005</v>
      </c>
      <c r="AV61" s="261"/>
      <c r="AW61" s="261">
        <f>BA61+BE61+BI61</f>
        <v>0</v>
      </c>
      <c r="AX61" s="308"/>
      <c r="AY61" s="266">
        <v>23833.33</v>
      </c>
      <c r="AZ61" s="261"/>
      <c r="BA61" s="261"/>
      <c r="BB61" s="308"/>
      <c r="BC61" s="266">
        <v>23833.33</v>
      </c>
      <c r="BD61" s="261"/>
      <c r="BE61" s="261"/>
      <c r="BF61" s="308"/>
      <c r="BG61" s="266">
        <v>23833.33</v>
      </c>
      <c r="BH61" s="261"/>
      <c r="BI61" s="261"/>
      <c r="BJ61" s="309"/>
      <c r="BK61" s="310">
        <f t="shared" si="78"/>
        <v>0</v>
      </c>
      <c r="BL61" s="310">
        <f t="shared" si="78"/>
        <v>71499.990000000005</v>
      </c>
      <c r="BM61" s="261"/>
      <c r="BN61" s="261"/>
      <c r="BO61" s="266"/>
      <c r="BP61" s="266">
        <v>23833.33</v>
      </c>
      <c r="BQ61" s="262"/>
      <c r="BR61" s="262"/>
      <c r="BS61" s="266"/>
      <c r="BT61" s="266">
        <v>23833.33</v>
      </c>
      <c r="BU61" s="262"/>
      <c r="BV61" s="262"/>
      <c r="BW61" s="266"/>
      <c r="BX61" s="266">
        <v>23833.33</v>
      </c>
      <c r="BY61" s="262"/>
      <c r="BZ61" s="262"/>
      <c r="CA61" s="305"/>
    </row>
    <row r="62" spans="1:79" s="306" customFormat="1" ht="42" customHeight="1" x14ac:dyDescent="0.2">
      <c r="A62" s="300" t="s">
        <v>395</v>
      </c>
      <c r="B62" s="327" t="s">
        <v>396</v>
      </c>
      <c r="C62" s="267">
        <v>8000000</v>
      </c>
      <c r="D62" s="267">
        <v>8536100</v>
      </c>
      <c r="E62" s="267">
        <f>SUM(E63:E73)</f>
        <v>8536100</v>
      </c>
      <c r="F62" s="303">
        <f>K62+AB62+AS62+BJ62</f>
        <v>8536100</v>
      </c>
      <c r="G62" s="304">
        <f t="shared" ref="G62:AR62" si="79">SUM(G63:G73)</f>
        <v>629331.13</v>
      </c>
      <c r="H62" s="304">
        <f t="shared" si="79"/>
        <v>8534223.5</v>
      </c>
      <c r="I62" s="258">
        <f t="shared" si="79"/>
        <v>999</v>
      </c>
      <c r="J62" s="258">
        <f t="shared" si="79"/>
        <v>5249</v>
      </c>
      <c r="K62" s="267">
        <v>2913900</v>
      </c>
      <c r="L62" s="304">
        <f t="shared" si="79"/>
        <v>150467.94</v>
      </c>
      <c r="M62" s="304">
        <f t="shared" si="79"/>
        <v>2904138.7299999995</v>
      </c>
      <c r="N62" s="258">
        <f t="shared" si="79"/>
        <v>480</v>
      </c>
      <c r="O62" s="258">
        <f t="shared" si="79"/>
        <v>1642</v>
      </c>
      <c r="P62" s="304">
        <f t="shared" si="79"/>
        <v>53577.32</v>
      </c>
      <c r="Q62" s="304">
        <f t="shared" si="79"/>
        <v>861126.54999999993</v>
      </c>
      <c r="R62" s="258">
        <f t="shared" si="79"/>
        <v>255</v>
      </c>
      <c r="S62" s="258">
        <f t="shared" si="79"/>
        <v>680</v>
      </c>
      <c r="T62" s="304">
        <f t="shared" si="79"/>
        <v>51386.94</v>
      </c>
      <c r="U62" s="304">
        <f t="shared" si="79"/>
        <v>1561824.23</v>
      </c>
      <c r="V62" s="258">
        <f t="shared" si="79"/>
        <v>216</v>
      </c>
      <c r="W62" s="258">
        <f t="shared" si="79"/>
        <v>596</v>
      </c>
      <c r="X62" s="304">
        <f t="shared" si="79"/>
        <v>45503.679999999993</v>
      </c>
      <c r="Y62" s="304">
        <f t="shared" si="79"/>
        <v>481187.95</v>
      </c>
      <c r="Z62" s="258">
        <f t="shared" si="79"/>
        <v>224</v>
      </c>
      <c r="AA62" s="258">
        <f t="shared" si="79"/>
        <v>366</v>
      </c>
      <c r="AB62" s="267">
        <v>2674000</v>
      </c>
      <c r="AC62" s="304">
        <f t="shared" ref="AC62:AH62" si="80">SUM(AC63:AC73)</f>
        <v>169703.42</v>
      </c>
      <c r="AD62" s="304">
        <f t="shared" si="80"/>
        <v>1970536.42</v>
      </c>
      <c r="AE62" s="258">
        <f t="shared" si="80"/>
        <v>527</v>
      </c>
      <c r="AF62" s="258">
        <f t="shared" si="80"/>
        <v>1185</v>
      </c>
      <c r="AG62" s="304">
        <f t="shared" si="80"/>
        <v>57779.47</v>
      </c>
      <c r="AH62" s="267">
        <f t="shared" si="80"/>
        <v>876861.88000000012</v>
      </c>
      <c r="AI62" s="258">
        <f t="shared" si="79"/>
        <v>266</v>
      </c>
      <c r="AJ62" s="258">
        <f t="shared" si="79"/>
        <v>406</v>
      </c>
      <c r="AK62" s="304">
        <f t="shared" si="79"/>
        <v>53783.12</v>
      </c>
      <c r="AL62" s="267">
        <f t="shared" si="79"/>
        <v>1036576.51</v>
      </c>
      <c r="AM62" s="258">
        <f t="shared" si="79"/>
        <v>230</v>
      </c>
      <c r="AN62" s="258">
        <f t="shared" si="79"/>
        <v>365</v>
      </c>
      <c r="AO62" s="304">
        <f t="shared" si="79"/>
        <v>58140.83</v>
      </c>
      <c r="AP62" s="267">
        <f t="shared" si="79"/>
        <v>57098.03</v>
      </c>
      <c r="AQ62" s="258">
        <f t="shared" si="79"/>
        <v>268</v>
      </c>
      <c r="AR62" s="258">
        <f t="shared" si="79"/>
        <v>414</v>
      </c>
      <c r="AS62" s="267">
        <v>2483900</v>
      </c>
      <c r="AT62" s="304">
        <f t="shared" ref="AT62:BZ62" si="81">SUM(AT63:AT73)</f>
        <v>150213.29999999999</v>
      </c>
      <c r="AU62" s="304">
        <f t="shared" si="81"/>
        <v>2438812.27</v>
      </c>
      <c r="AV62" s="258">
        <f t="shared" si="81"/>
        <v>488</v>
      </c>
      <c r="AW62" s="258">
        <f t="shared" si="81"/>
        <v>1166</v>
      </c>
      <c r="AX62" s="304">
        <f t="shared" si="81"/>
        <v>58820.38</v>
      </c>
      <c r="AY62" s="267">
        <f t="shared" si="81"/>
        <v>1391953.69</v>
      </c>
      <c r="AZ62" s="258">
        <f t="shared" si="81"/>
        <v>272</v>
      </c>
      <c r="BA62" s="258">
        <f t="shared" si="81"/>
        <v>437</v>
      </c>
      <c r="BB62" s="304">
        <f t="shared" si="81"/>
        <v>50911.55</v>
      </c>
      <c r="BC62" s="267">
        <f t="shared" si="81"/>
        <v>53323.79</v>
      </c>
      <c r="BD62" s="258">
        <f t="shared" si="81"/>
        <v>251</v>
      </c>
      <c r="BE62" s="258">
        <f>SUM(BE63:BE72)</f>
        <v>402</v>
      </c>
      <c r="BF62" s="304">
        <f t="shared" si="81"/>
        <v>40481.369999999995</v>
      </c>
      <c r="BG62" s="267">
        <f t="shared" si="81"/>
        <v>993534.79</v>
      </c>
      <c r="BH62" s="258">
        <f t="shared" si="81"/>
        <v>200</v>
      </c>
      <c r="BI62" s="258">
        <f t="shared" si="81"/>
        <v>327</v>
      </c>
      <c r="BJ62" s="267">
        <v>464300</v>
      </c>
      <c r="BK62" s="304">
        <f t="shared" si="81"/>
        <v>158946.47</v>
      </c>
      <c r="BL62" s="304">
        <f t="shared" si="81"/>
        <v>1220736.08</v>
      </c>
      <c r="BM62" s="258">
        <f>SUM(BM63:BM73)</f>
        <v>557</v>
      </c>
      <c r="BN62" s="258">
        <f>SUM(BN63:BN73)</f>
        <v>1256</v>
      </c>
      <c r="BO62" s="267">
        <f t="shared" si="81"/>
        <v>47995.07</v>
      </c>
      <c r="BP62" s="267">
        <f t="shared" si="81"/>
        <v>614267.65</v>
      </c>
      <c r="BQ62" s="259">
        <f t="shared" si="81"/>
        <v>257</v>
      </c>
      <c r="BR62" s="259">
        <f t="shared" si="81"/>
        <v>392</v>
      </c>
      <c r="BS62" s="267">
        <f t="shared" si="81"/>
        <v>52127.18</v>
      </c>
      <c r="BT62" s="267">
        <f t="shared" si="81"/>
        <v>188566.83000000002</v>
      </c>
      <c r="BU62" s="259">
        <f>SUM(BU63:BU73)</f>
        <v>281</v>
      </c>
      <c r="BV62" s="259">
        <f>SUM(BV63:BV73)</f>
        <v>452</v>
      </c>
      <c r="BW62" s="267">
        <f t="shared" si="81"/>
        <v>58824.22</v>
      </c>
      <c r="BX62" s="267">
        <f t="shared" si="81"/>
        <v>417901.60000000003</v>
      </c>
      <c r="BY62" s="259">
        <f t="shared" si="81"/>
        <v>246</v>
      </c>
      <c r="BZ62" s="259">
        <f t="shared" si="81"/>
        <v>412</v>
      </c>
      <c r="CA62" s="305"/>
    </row>
    <row r="63" spans="1:79" s="306" customFormat="1" ht="42" customHeight="1" x14ac:dyDescent="0.2">
      <c r="A63" s="325"/>
      <c r="B63" s="268" t="s">
        <v>397</v>
      </c>
      <c r="C63" s="266"/>
      <c r="D63" s="266"/>
      <c r="E63" s="266">
        <v>67000</v>
      </c>
      <c r="F63" s="308"/>
      <c r="G63" s="308">
        <f t="shared" ref="G63:H73" si="82">L63+AC63+AT63+BK63</f>
        <v>67000</v>
      </c>
      <c r="H63" s="308">
        <f t="shared" si="82"/>
        <v>67000</v>
      </c>
      <c r="I63" s="261">
        <v>196</v>
      </c>
      <c r="J63" s="261">
        <f>O63+AF63+AW63+BN63</f>
        <v>829</v>
      </c>
      <c r="K63" s="309"/>
      <c r="L63" s="310">
        <f t="shared" ref="L63:M73" si="83">P63+T63+X63</f>
        <v>16500</v>
      </c>
      <c r="M63" s="310">
        <f t="shared" si="83"/>
        <v>11000</v>
      </c>
      <c r="N63" s="261">
        <v>142</v>
      </c>
      <c r="O63" s="261">
        <f>S63+W63+AA63</f>
        <v>303</v>
      </c>
      <c r="P63" s="308">
        <v>5500</v>
      </c>
      <c r="Q63" s="308">
        <v>5500</v>
      </c>
      <c r="R63" s="261">
        <v>54</v>
      </c>
      <c r="S63" s="261">
        <v>116</v>
      </c>
      <c r="T63" s="308">
        <v>5500</v>
      </c>
      <c r="U63" s="308"/>
      <c r="V63" s="261">
        <v>54</v>
      </c>
      <c r="W63" s="261">
        <v>126</v>
      </c>
      <c r="X63" s="308">
        <v>5500</v>
      </c>
      <c r="Y63" s="308">
        <v>5500</v>
      </c>
      <c r="Z63" s="261">
        <v>57</v>
      </c>
      <c r="AA63" s="261">
        <v>61</v>
      </c>
      <c r="AB63" s="309"/>
      <c r="AC63" s="310">
        <f t="shared" ref="AC63:AD73" si="84">AG63+AK63+AO63</f>
        <v>16750</v>
      </c>
      <c r="AD63" s="310">
        <f t="shared" si="84"/>
        <v>16625</v>
      </c>
      <c r="AE63" s="261">
        <v>132</v>
      </c>
      <c r="AF63" s="261">
        <f>AJ63+AN63+AR63</f>
        <v>161</v>
      </c>
      <c r="AG63" s="308">
        <v>5500</v>
      </c>
      <c r="AH63" s="266"/>
      <c r="AI63" s="261">
        <v>56</v>
      </c>
      <c r="AJ63" s="261">
        <v>59</v>
      </c>
      <c r="AK63" s="308">
        <v>5625</v>
      </c>
      <c r="AL63" s="266">
        <v>11125</v>
      </c>
      <c r="AM63" s="261">
        <v>42</v>
      </c>
      <c r="AN63" s="261">
        <v>45</v>
      </c>
      <c r="AO63" s="308">
        <v>5625</v>
      </c>
      <c r="AP63" s="266">
        <v>5500</v>
      </c>
      <c r="AQ63" s="261">
        <v>56</v>
      </c>
      <c r="AR63" s="261">
        <v>57</v>
      </c>
      <c r="AS63" s="309"/>
      <c r="AT63" s="310">
        <f t="shared" ref="AT63:AU73" si="85">AX63+BB63+BF63</f>
        <v>16875</v>
      </c>
      <c r="AU63" s="310">
        <f t="shared" si="85"/>
        <v>16875</v>
      </c>
      <c r="AV63" s="261">
        <v>139</v>
      </c>
      <c r="AW63" s="261">
        <f t="shared" ref="AW63:AW73" si="86">BA63+BE63+BI63</f>
        <v>166</v>
      </c>
      <c r="AX63" s="308">
        <v>5625</v>
      </c>
      <c r="AY63" s="266">
        <v>5625</v>
      </c>
      <c r="AZ63" s="261">
        <v>66</v>
      </c>
      <c r="BA63" s="261">
        <v>69</v>
      </c>
      <c r="BB63" s="308">
        <v>5625</v>
      </c>
      <c r="BC63" s="266">
        <v>5625</v>
      </c>
      <c r="BD63" s="261">
        <v>70</v>
      </c>
      <c r="BE63" s="261">
        <v>73</v>
      </c>
      <c r="BF63" s="308">
        <v>5625</v>
      </c>
      <c r="BG63" s="266">
        <v>5625</v>
      </c>
      <c r="BH63" s="261">
        <v>24</v>
      </c>
      <c r="BI63" s="261">
        <v>24</v>
      </c>
      <c r="BJ63" s="309"/>
      <c r="BK63" s="310">
        <f t="shared" ref="BK63:BL73" si="87">BO63+BS63+BW63</f>
        <v>16875</v>
      </c>
      <c r="BL63" s="310">
        <f t="shared" si="87"/>
        <v>22500</v>
      </c>
      <c r="BM63" s="261">
        <v>157</v>
      </c>
      <c r="BN63" s="261">
        <f>BR63+BV63+BZ63</f>
        <v>199</v>
      </c>
      <c r="BO63" s="266">
        <v>5625</v>
      </c>
      <c r="BP63" s="266">
        <v>5625</v>
      </c>
      <c r="BQ63" s="262">
        <v>62</v>
      </c>
      <c r="BR63" s="262">
        <v>66</v>
      </c>
      <c r="BS63" s="266">
        <v>5625</v>
      </c>
      <c r="BT63" s="266">
        <v>11250</v>
      </c>
      <c r="BU63" s="262">
        <v>65</v>
      </c>
      <c r="BV63" s="262">
        <v>76</v>
      </c>
      <c r="BW63" s="266">
        <v>5625</v>
      </c>
      <c r="BX63" s="266">
        <v>5625</v>
      </c>
      <c r="BY63" s="262">
        <v>51</v>
      </c>
      <c r="BZ63" s="262">
        <v>57</v>
      </c>
      <c r="CA63" s="305"/>
    </row>
    <row r="64" spans="1:79" s="306" customFormat="1" ht="45.75" customHeight="1" x14ac:dyDescent="0.2">
      <c r="A64" s="325"/>
      <c r="B64" s="268" t="s">
        <v>398</v>
      </c>
      <c r="C64" s="266"/>
      <c r="D64" s="266"/>
      <c r="E64" s="266">
        <v>390100</v>
      </c>
      <c r="F64" s="308"/>
      <c r="G64" s="308">
        <f t="shared" si="82"/>
        <v>390009.78</v>
      </c>
      <c r="H64" s="308">
        <f t="shared" si="82"/>
        <v>390009.78</v>
      </c>
      <c r="I64" s="261">
        <v>551</v>
      </c>
      <c r="J64" s="261">
        <f>O64+AF64+AW64+BN64</f>
        <v>925</v>
      </c>
      <c r="K64" s="309"/>
      <c r="L64" s="310">
        <f t="shared" si="83"/>
        <v>84001.26</v>
      </c>
      <c r="M64" s="310">
        <f t="shared" si="83"/>
        <v>84001.260000000009</v>
      </c>
      <c r="N64" s="261">
        <v>168</v>
      </c>
      <c r="O64" s="261">
        <f>S64+W64+AA64</f>
        <v>203</v>
      </c>
      <c r="P64" s="308">
        <v>31410.65</v>
      </c>
      <c r="Q64" s="308">
        <v>11588.65</v>
      </c>
      <c r="R64" s="261">
        <v>76</v>
      </c>
      <c r="S64" s="261">
        <v>77</v>
      </c>
      <c r="T64" s="308">
        <v>29253.599999999999</v>
      </c>
      <c r="U64" s="308">
        <v>19822</v>
      </c>
      <c r="V64" s="261">
        <v>68</v>
      </c>
      <c r="W64" s="261">
        <v>69</v>
      </c>
      <c r="X64" s="308">
        <v>23337.01</v>
      </c>
      <c r="Y64" s="308">
        <v>52590.61</v>
      </c>
      <c r="Z64" s="261">
        <v>56</v>
      </c>
      <c r="AA64" s="261">
        <v>57</v>
      </c>
      <c r="AB64" s="309"/>
      <c r="AC64" s="310">
        <f t="shared" si="84"/>
        <v>109864.75000000001</v>
      </c>
      <c r="AD64" s="310">
        <f t="shared" si="84"/>
        <v>83746.75</v>
      </c>
      <c r="AE64" s="261">
        <v>213</v>
      </c>
      <c r="AF64" s="261">
        <f>AJ64+AN64+AR64</f>
        <v>257</v>
      </c>
      <c r="AG64" s="308">
        <v>35612.800000000003</v>
      </c>
      <c r="AH64" s="266"/>
      <c r="AI64" s="261">
        <v>85</v>
      </c>
      <c r="AJ64" s="261">
        <v>88</v>
      </c>
      <c r="AK64" s="308">
        <v>34947.120000000003</v>
      </c>
      <c r="AL64" s="266">
        <v>70559.92</v>
      </c>
      <c r="AM64" s="261">
        <v>77</v>
      </c>
      <c r="AN64" s="261">
        <v>78</v>
      </c>
      <c r="AO64" s="308">
        <v>39304.83</v>
      </c>
      <c r="AP64" s="266">
        <v>13186.83</v>
      </c>
      <c r="AQ64" s="261">
        <v>89</v>
      </c>
      <c r="AR64" s="261">
        <v>91</v>
      </c>
      <c r="AS64" s="309"/>
      <c r="AT64" s="310">
        <f t="shared" si="85"/>
        <v>93705.299999999988</v>
      </c>
      <c r="AU64" s="310">
        <f t="shared" si="85"/>
        <v>98177.930000000008</v>
      </c>
      <c r="AV64" s="261">
        <v>180</v>
      </c>
      <c r="AW64" s="261">
        <f t="shared" si="86"/>
        <v>227</v>
      </c>
      <c r="AX64" s="308">
        <v>39984.379999999997</v>
      </c>
      <c r="AY64" s="266">
        <v>66102.38</v>
      </c>
      <c r="AZ64" s="261">
        <v>89</v>
      </c>
      <c r="BA64" s="261">
        <v>93</v>
      </c>
      <c r="BB64" s="308">
        <v>32075.55</v>
      </c>
      <c r="BC64" s="266"/>
      <c r="BD64" s="261">
        <v>74</v>
      </c>
      <c r="BE64" s="261">
        <v>79</v>
      </c>
      <c r="BF64" s="308">
        <v>21645.37</v>
      </c>
      <c r="BG64" s="266">
        <v>32075.55</v>
      </c>
      <c r="BH64" s="261">
        <v>53</v>
      </c>
      <c r="BI64" s="261">
        <v>55</v>
      </c>
      <c r="BJ64" s="309"/>
      <c r="BK64" s="310">
        <f t="shared" si="87"/>
        <v>102438.47</v>
      </c>
      <c r="BL64" s="310">
        <f t="shared" si="87"/>
        <v>124083.84</v>
      </c>
      <c r="BM64" s="261">
        <v>202</v>
      </c>
      <c r="BN64" s="261">
        <f>BR64+BV64+BZ64</f>
        <v>238</v>
      </c>
      <c r="BO64" s="266">
        <v>29159.07</v>
      </c>
      <c r="BP64" s="266">
        <v>21645.37</v>
      </c>
      <c r="BQ64" s="262">
        <v>69</v>
      </c>
      <c r="BR64" s="262">
        <v>71</v>
      </c>
      <c r="BS64" s="266">
        <v>33291.18</v>
      </c>
      <c r="BT64" s="266">
        <v>29159.07</v>
      </c>
      <c r="BU64" s="262">
        <v>80</v>
      </c>
      <c r="BV64" s="262">
        <v>81</v>
      </c>
      <c r="BW64" s="266">
        <v>39988.22</v>
      </c>
      <c r="BX64" s="266">
        <v>73279.399999999994</v>
      </c>
      <c r="BY64" s="262">
        <v>81</v>
      </c>
      <c r="BZ64" s="262">
        <v>86</v>
      </c>
      <c r="CA64" s="305"/>
    </row>
    <row r="65" spans="1:79" s="306" customFormat="1" ht="42" customHeight="1" x14ac:dyDescent="0.2">
      <c r="A65" s="325"/>
      <c r="B65" s="268" t="s">
        <v>399</v>
      </c>
      <c r="C65" s="266"/>
      <c r="D65" s="266"/>
      <c r="E65" s="266">
        <v>172400</v>
      </c>
      <c r="F65" s="308"/>
      <c r="G65" s="308">
        <f t="shared" si="82"/>
        <v>172321.34999999998</v>
      </c>
      <c r="H65" s="308">
        <f t="shared" si="82"/>
        <v>172321.34999999998</v>
      </c>
      <c r="I65" s="261">
        <v>252</v>
      </c>
      <c r="J65" s="261">
        <f>O65+AF65+AW65+BN65</f>
        <v>3495</v>
      </c>
      <c r="K65" s="309"/>
      <c r="L65" s="310">
        <f t="shared" si="83"/>
        <v>49966.679999999993</v>
      </c>
      <c r="M65" s="310">
        <f t="shared" si="83"/>
        <v>33300.009999999995</v>
      </c>
      <c r="N65" s="261">
        <v>170</v>
      </c>
      <c r="O65" s="261">
        <f>S65+W65+AA65</f>
        <v>1136</v>
      </c>
      <c r="P65" s="308">
        <v>16666.669999999998</v>
      </c>
      <c r="Q65" s="308"/>
      <c r="R65" s="261">
        <v>125</v>
      </c>
      <c r="S65" s="261">
        <v>487</v>
      </c>
      <c r="T65" s="308">
        <v>16633.34</v>
      </c>
      <c r="U65" s="308">
        <v>16666.669999999998</v>
      </c>
      <c r="V65" s="261">
        <v>94</v>
      </c>
      <c r="W65" s="261">
        <v>401</v>
      </c>
      <c r="X65" s="308">
        <v>16666.669999999998</v>
      </c>
      <c r="Y65" s="308">
        <v>16633.34</v>
      </c>
      <c r="Z65" s="261">
        <v>111</v>
      </c>
      <c r="AA65" s="261">
        <v>248</v>
      </c>
      <c r="AB65" s="309"/>
      <c r="AC65" s="310">
        <f t="shared" si="84"/>
        <v>43088.67</v>
      </c>
      <c r="AD65" s="310">
        <f t="shared" si="84"/>
        <v>46544.34</v>
      </c>
      <c r="AE65" s="261">
        <v>182</v>
      </c>
      <c r="AF65" s="261">
        <f>AJ65+AN65+AR65</f>
        <v>767</v>
      </c>
      <c r="AG65" s="308">
        <v>16666.669999999998</v>
      </c>
      <c r="AH65" s="266">
        <v>16666.669999999998</v>
      </c>
      <c r="AI65" s="261">
        <v>125</v>
      </c>
      <c r="AJ65" s="261">
        <v>259</v>
      </c>
      <c r="AK65" s="308">
        <v>13211</v>
      </c>
      <c r="AL65" s="266">
        <v>16666.669999999998</v>
      </c>
      <c r="AM65" s="261">
        <v>111</v>
      </c>
      <c r="AN65" s="261">
        <v>242</v>
      </c>
      <c r="AO65" s="308">
        <v>13211</v>
      </c>
      <c r="AP65" s="266">
        <v>13211</v>
      </c>
      <c r="AQ65" s="261">
        <v>123</v>
      </c>
      <c r="AR65" s="261">
        <v>266</v>
      </c>
      <c r="AS65" s="309"/>
      <c r="AT65" s="310">
        <f t="shared" si="85"/>
        <v>39633</v>
      </c>
      <c r="AU65" s="310">
        <f t="shared" si="85"/>
        <v>39633</v>
      </c>
      <c r="AV65" s="261">
        <v>169</v>
      </c>
      <c r="AW65" s="261">
        <f t="shared" si="86"/>
        <v>773</v>
      </c>
      <c r="AX65" s="308">
        <v>13211</v>
      </c>
      <c r="AY65" s="266">
        <v>13211</v>
      </c>
      <c r="AZ65" s="261">
        <v>117</v>
      </c>
      <c r="BA65" s="261">
        <v>275</v>
      </c>
      <c r="BB65" s="308">
        <v>13211</v>
      </c>
      <c r="BC65" s="266">
        <v>13211</v>
      </c>
      <c r="BD65" s="261">
        <v>107</v>
      </c>
      <c r="BE65" s="261">
        <v>250</v>
      </c>
      <c r="BF65" s="308">
        <v>13211</v>
      </c>
      <c r="BG65" s="266">
        <v>13211</v>
      </c>
      <c r="BH65" s="261">
        <v>123</v>
      </c>
      <c r="BI65" s="261">
        <v>248</v>
      </c>
      <c r="BJ65" s="309"/>
      <c r="BK65" s="310">
        <f t="shared" si="87"/>
        <v>39633</v>
      </c>
      <c r="BL65" s="310">
        <f t="shared" si="87"/>
        <v>52844</v>
      </c>
      <c r="BM65" s="261">
        <v>198</v>
      </c>
      <c r="BN65" s="261">
        <f>BR65+BV65+BZ65</f>
        <v>819</v>
      </c>
      <c r="BO65" s="266">
        <v>13211</v>
      </c>
      <c r="BP65" s="266">
        <v>13211</v>
      </c>
      <c r="BQ65" s="262">
        <v>126</v>
      </c>
      <c r="BR65" s="262">
        <v>255</v>
      </c>
      <c r="BS65" s="266">
        <v>13211</v>
      </c>
      <c r="BT65" s="266">
        <v>26422</v>
      </c>
      <c r="BU65" s="262">
        <v>136</v>
      </c>
      <c r="BV65" s="262">
        <v>295</v>
      </c>
      <c r="BW65" s="266">
        <v>13211</v>
      </c>
      <c r="BX65" s="266">
        <v>13211</v>
      </c>
      <c r="BY65" s="262">
        <v>114</v>
      </c>
      <c r="BZ65" s="262">
        <v>269</v>
      </c>
      <c r="CA65" s="305"/>
    </row>
    <row r="66" spans="1:79" s="306" customFormat="1" ht="54" hidden="1" customHeight="1" x14ac:dyDescent="0.2">
      <c r="A66" s="325"/>
      <c r="B66" s="312" t="s">
        <v>481</v>
      </c>
      <c r="C66" s="266"/>
      <c r="D66" s="266"/>
      <c r="E66" s="266">
        <v>5414800</v>
      </c>
      <c r="F66" s="308"/>
      <c r="G66" s="308">
        <f t="shared" si="82"/>
        <v>0</v>
      </c>
      <c r="H66" s="308">
        <f t="shared" si="82"/>
        <v>5413316.3799999999</v>
      </c>
      <c r="I66" s="261"/>
      <c r="J66" s="261"/>
      <c r="K66" s="309"/>
      <c r="L66" s="310">
        <f t="shared" si="83"/>
        <v>0</v>
      </c>
      <c r="M66" s="310">
        <f t="shared" si="83"/>
        <v>2004368.4</v>
      </c>
      <c r="N66" s="261"/>
      <c r="O66" s="261"/>
      <c r="P66" s="308"/>
      <c r="Q66" s="308">
        <f>14675.2+281529.6+278739.6</f>
        <v>574944.39999999991</v>
      </c>
      <c r="R66" s="261"/>
      <c r="S66" s="261"/>
      <c r="T66" s="308"/>
      <c r="U66" s="308">
        <f>480517.82+480007.93+80434.25</f>
        <v>1040960</v>
      </c>
      <c r="V66" s="261"/>
      <c r="W66" s="261"/>
      <c r="X66" s="308"/>
      <c r="Y66" s="308">
        <f>33248.5+301265.9+53949.6</f>
        <v>388464</v>
      </c>
      <c r="Z66" s="261"/>
      <c r="AA66" s="261"/>
      <c r="AB66" s="309"/>
      <c r="AC66" s="310">
        <f t="shared" si="84"/>
        <v>0</v>
      </c>
      <c r="AD66" s="310">
        <f t="shared" si="84"/>
        <v>845786.72</v>
      </c>
      <c r="AE66" s="261"/>
      <c r="AF66" s="261"/>
      <c r="AG66" s="308"/>
      <c r="AH66" s="266">
        <f>104331.5+53053.2+34660.49+245664.85+93843.2</f>
        <v>531553.24</v>
      </c>
      <c r="AI66" s="261"/>
      <c r="AJ66" s="261"/>
      <c r="AK66" s="308"/>
      <c r="AL66" s="266">
        <f>175955.99+52669.49+85608</f>
        <v>314233.48</v>
      </c>
      <c r="AM66" s="261"/>
      <c r="AN66" s="261"/>
      <c r="AO66" s="308"/>
      <c r="AP66" s="266"/>
      <c r="AQ66" s="261"/>
      <c r="AR66" s="261"/>
      <c r="AS66" s="309"/>
      <c r="AT66" s="310">
        <f t="shared" si="85"/>
        <v>0</v>
      </c>
      <c r="AU66" s="310">
        <f t="shared" si="85"/>
        <v>1713795.98</v>
      </c>
      <c r="AV66" s="261"/>
      <c r="AW66" s="261">
        <f t="shared" si="86"/>
        <v>0</v>
      </c>
      <c r="AX66" s="308"/>
      <c r="AY66" s="266">
        <f>668632.74+120540</f>
        <v>789172.74</v>
      </c>
      <c r="AZ66" s="261"/>
      <c r="BA66" s="261"/>
      <c r="BB66" s="308"/>
      <c r="BC66" s="266"/>
      <c r="BD66" s="261"/>
      <c r="BE66" s="261"/>
      <c r="BF66" s="308"/>
      <c r="BG66" s="266">
        <f>372674.77+160739.3+286690.95+104518.22</f>
        <v>924623.24</v>
      </c>
      <c r="BH66" s="261"/>
      <c r="BI66" s="261"/>
      <c r="BJ66" s="309"/>
      <c r="BK66" s="310">
        <f t="shared" si="87"/>
        <v>0</v>
      </c>
      <c r="BL66" s="310">
        <f t="shared" si="87"/>
        <v>849365.28</v>
      </c>
      <c r="BM66" s="261"/>
      <c r="BN66" s="261"/>
      <c r="BO66" s="266"/>
      <c r="BP66" s="266">
        <f>555786.28</f>
        <v>555786.28</v>
      </c>
      <c r="BQ66" s="262"/>
      <c r="BR66" s="262"/>
      <c r="BS66" s="266"/>
      <c r="BT66" s="266"/>
      <c r="BU66" s="262"/>
      <c r="BV66" s="262"/>
      <c r="BW66" s="266"/>
      <c r="BX66" s="266">
        <f>293579</f>
        <v>293579</v>
      </c>
      <c r="BY66" s="262"/>
      <c r="BZ66" s="262"/>
      <c r="CA66" s="305"/>
    </row>
    <row r="67" spans="1:79" s="306" customFormat="1" ht="55.5" hidden="1" customHeight="1" x14ac:dyDescent="0.2">
      <c r="A67" s="325"/>
      <c r="B67" s="312" t="s">
        <v>482</v>
      </c>
      <c r="C67" s="266"/>
      <c r="D67" s="266"/>
      <c r="E67" s="266">
        <v>484200</v>
      </c>
      <c r="F67" s="308"/>
      <c r="G67" s="308">
        <f t="shared" si="82"/>
        <v>0</v>
      </c>
      <c r="H67" s="308">
        <f t="shared" si="82"/>
        <v>484180.18</v>
      </c>
      <c r="I67" s="261"/>
      <c r="J67" s="261"/>
      <c r="K67" s="309"/>
      <c r="L67" s="310">
        <f t="shared" si="83"/>
        <v>0</v>
      </c>
      <c r="M67" s="310">
        <f t="shared" si="83"/>
        <v>101845.88</v>
      </c>
      <c r="N67" s="261"/>
      <c r="O67" s="261"/>
      <c r="P67" s="308"/>
      <c r="Q67" s="308"/>
      <c r="R67" s="261"/>
      <c r="S67" s="261"/>
      <c r="T67" s="308"/>
      <c r="U67" s="308">
        <f>90739.56+11106.32</f>
        <v>101845.88</v>
      </c>
      <c r="V67" s="261"/>
      <c r="W67" s="261"/>
      <c r="X67" s="308"/>
      <c r="Y67" s="308"/>
      <c r="Z67" s="261"/>
      <c r="AA67" s="261"/>
      <c r="AB67" s="309"/>
      <c r="AC67" s="310">
        <f t="shared" si="84"/>
        <v>0</v>
      </c>
      <c r="AD67" s="310">
        <f t="shared" si="84"/>
        <v>382334.3</v>
      </c>
      <c r="AE67" s="261"/>
      <c r="AF67" s="261"/>
      <c r="AG67" s="308"/>
      <c r="AH67" s="266">
        <f>18003.88</f>
        <v>18003.88</v>
      </c>
      <c r="AI67" s="261"/>
      <c r="AJ67" s="261"/>
      <c r="AK67" s="308"/>
      <c r="AL67" s="266">
        <f>327910.69+36179.68+240.05</f>
        <v>364330.42</v>
      </c>
      <c r="AM67" s="261"/>
      <c r="AN67" s="261"/>
      <c r="AO67" s="308"/>
      <c r="AP67" s="266"/>
      <c r="AQ67" s="261"/>
      <c r="AR67" s="261"/>
      <c r="AS67" s="309"/>
      <c r="AT67" s="310">
        <f t="shared" si="85"/>
        <v>0</v>
      </c>
      <c r="AU67" s="310">
        <f t="shared" si="85"/>
        <v>0</v>
      </c>
      <c r="AV67" s="261"/>
      <c r="AW67" s="261">
        <f t="shared" si="86"/>
        <v>0</v>
      </c>
      <c r="AX67" s="308"/>
      <c r="AY67" s="266"/>
      <c r="AZ67" s="261"/>
      <c r="BA67" s="261"/>
      <c r="BB67" s="308"/>
      <c r="BC67" s="266"/>
      <c r="BD67" s="261"/>
      <c r="BE67" s="261"/>
      <c r="BF67" s="308"/>
      <c r="BG67" s="266"/>
      <c r="BH67" s="261"/>
      <c r="BI67" s="261"/>
      <c r="BJ67" s="309"/>
      <c r="BK67" s="310">
        <f t="shared" si="87"/>
        <v>0</v>
      </c>
      <c r="BL67" s="310">
        <f t="shared" si="87"/>
        <v>0</v>
      </c>
      <c r="BM67" s="261"/>
      <c r="BN67" s="261"/>
      <c r="BO67" s="266"/>
      <c r="BP67" s="266"/>
      <c r="BQ67" s="262"/>
      <c r="BR67" s="262"/>
      <c r="BS67" s="266"/>
      <c r="BT67" s="266"/>
      <c r="BU67" s="262"/>
      <c r="BV67" s="262"/>
      <c r="BW67" s="266"/>
      <c r="BX67" s="266"/>
      <c r="BY67" s="262"/>
      <c r="BZ67" s="262"/>
      <c r="CA67" s="305"/>
    </row>
    <row r="68" spans="1:79" s="306" customFormat="1" ht="55.5" hidden="1" customHeight="1" x14ac:dyDescent="0.2">
      <c r="A68" s="325"/>
      <c r="B68" s="312" t="s">
        <v>483</v>
      </c>
      <c r="C68" s="266"/>
      <c r="D68" s="266"/>
      <c r="E68" s="266">
        <v>41100</v>
      </c>
      <c r="F68" s="308"/>
      <c r="G68" s="308">
        <f t="shared" si="82"/>
        <v>0</v>
      </c>
      <c r="H68" s="308">
        <f t="shared" si="82"/>
        <v>41082.740000000005</v>
      </c>
      <c r="I68" s="261"/>
      <c r="J68" s="261"/>
      <c r="K68" s="309"/>
      <c r="L68" s="310">
        <f t="shared" si="83"/>
        <v>0</v>
      </c>
      <c r="M68" s="310">
        <f t="shared" si="83"/>
        <v>13421.01</v>
      </c>
      <c r="N68" s="261"/>
      <c r="O68" s="261"/>
      <c r="P68" s="308"/>
      <c r="Q68" s="308"/>
      <c r="R68" s="261"/>
      <c r="S68" s="261"/>
      <c r="T68" s="308"/>
      <c r="U68" s="308">
        <f>13421.01</f>
        <v>13421.01</v>
      </c>
      <c r="V68" s="261"/>
      <c r="W68" s="261"/>
      <c r="X68" s="308"/>
      <c r="Y68" s="308"/>
      <c r="Z68" s="261"/>
      <c r="AA68" s="261"/>
      <c r="AB68" s="309"/>
      <c r="AC68" s="310">
        <f t="shared" si="84"/>
        <v>0</v>
      </c>
      <c r="AD68" s="310">
        <f t="shared" si="84"/>
        <v>13454.53</v>
      </c>
      <c r="AE68" s="261"/>
      <c r="AF68" s="261"/>
      <c r="AG68" s="308"/>
      <c r="AH68" s="266">
        <f>13454.53</f>
        <v>13454.53</v>
      </c>
      <c r="AI68" s="261"/>
      <c r="AJ68" s="261"/>
      <c r="AK68" s="308"/>
      <c r="AL68" s="266"/>
      <c r="AM68" s="261"/>
      <c r="AN68" s="261"/>
      <c r="AO68" s="308"/>
      <c r="AP68" s="266"/>
      <c r="AQ68" s="261"/>
      <c r="AR68" s="261"/>
      <c r="AS68" s="309"/>
      <c r="AT68" s="310">
        <f t="shared" si="85"/>
        <v>0</v>
      </c>
      <c r="AU68" s="310">
        <f t="shared" si="85"/>
        <v>0</v>
      </c>
      <c r="AV68" s="261"/>
      <c r="AW68" s="261">
        <f t="shared" si="86"/>
        <v>0</v>
      </c>
      <c r="AX68" s="308"/>
      <c r="AY68" s="266"/>
      <c r="AZ68" s="261"/>
      <c r="BA68" s="261"/>
      <c r="BB68" s="308"/>
      <c r="BC68" s="266"/>
      <c r="BD68" s="261"/>
      <c r="BE68" s="261"/>
      <c r="BF68" s="308"/>
      <c r="BG68" s="266"/>
      <c r="BH68" s="261"/>
      <c r="BI68" s="261"/>
      <c r="BJ68" s="309"/>
      <c r="BK68" s="310">
        <f t="shared" si="87"/>
        <v>0</v>
      </c>
      <c r="BL68" s="310">
        <f t="shared" si="87"/>
        <v>14207.2</v>
      </c>
      <c r="BM68" s="261"/>
      <c r="BN68" s="261"/>
      <c r="BO68" s="266"/>
      <c r="BP68" s="266"/>
      <c r="BQ68" s="262"/>
      <c r="BR68" s="262"/>
      <c r="BS68" s="266"/>
      <c r="BT68" s="266"/>
      <c r="BU68" s="262"/>
      <c r="BV68" s="262"/>
      <c r="BW68" s="266"/>
      <c r="BX68" s="266">
        <f>14207.2</f>
        <v>14207.2</v>
      </c>
      <c r="BY68" s="262"/>
      <c r="BZ68" s="262"/>
      <c r="CA68" s="305"/>
    </row>
    <row r="69" spans="1:79" s="306" customFormat="1" ht="55.5" hidden="1" customHeight="1" x14ac:dyDescent="0.2">
      <c r="A69" s="325"/>
      <c r="B69" s="312" t="s">
        <v>484</v>
      </c>
      <c r="C69" s="266"/>
      <c r="D69" s="266"/>
      <c r="E69" s="266">
        <v>35700</v>
      </c>
      <c r="F69" s="308"/>
      <c r="G69" s="308">
        <f t="shared" si="82"/>
        <v>0</v>
      </c>
      <c r="H69" s="308">
        <f t="shared" si="82"/>
        <v>35687.740000000005</v>
      </c>
      <c r="I69" s="261"/>
      <c r="J69" s="261"/>
      <c r="K69" s="309"/>
      <c r="L69" s="310">
        <f t="shared" si="83"/>
        <v>0</v>
      </c>
      <c r="M69" s="310">
        <f t="shared" si="83"/>
        <v>11999.75</v>
      </c>
      <c r="N69" s="261"/>
      <c r="O69" s="261"/>
      <c r="P69" s="308"/>
      <c r="Q69" s="308">
        <f>11999.75</f>
        <v>11999.75</v>
      </c>
      <c r="R69" s="261"/>
      <c r="S69" s="261"/>
      <c r="T69" s="308"/>
      <c r="U69" s="308"/>
      <c r="V69" s="261"/>
      <c r="W69" s="261"/>
      <c r="X69" s="308"/>
      <c r="Y69" s="308"/>
      <c r="Z69" s="261"/>
      <c r="AA69" s="261"/>
      <c r="AB69" s="309"/>
      <c r="AC69" s="310">
        <f t="shared" si="84"/>
        <v>0</v>
      </c>
      <c r="AD69" s="310">
        <f t="shared" si="84"/>
        <v>7200.2</v>
      </c>
      <c r="AE69" s="261"/>
      <c r="AF69" s="261"/>
      <c r="AG69" s="308"/>
      <c r="AH69" s="266"/>
      <c r="AI69" s="261"/>
      <c r="AJ69" s="261"/>
      <c r="AK69" s="308"/>
      <c r="AL69" s="266"/>
      <c r="AM69" s="261"/>
      <c r="AN69" s="261"/>
      <c r="AO69" s="308"/>
      <c r="AP69" s="266">
        <v>7200.2</v>
      </c>
      <c r="AQ69" s="261"/>
      <c r="AR69" s="261"/>
      <c r="AS69" s="309"/>
      <c r="AT69" s="310">
        <f t="shared" si="85"/>
        <v>0</v>
      </c>
      <c r="AU69" s="310">
        <f t="shared" si="85"/>
        <v>16487.79</v>
      </c>
      <c r="AV69" s="261"/>
      <c r="AW69" s="261">
        <f t="shared" si="86"/>
        <v>0</v>
      </c>
      <c r="AX69" s="308"/>
      <c r="AY69" s="266"/>
      <c r="AZ69" s="261"/>
      <c r="BA69" s="261"/>
      <c r="BB69" s="308"/>
      <c r="BC69" s="266">
        <v>16487.79</v>
      </c>
      <c r="BD69" s="261"/>
      <c r="BE69" s="261"/>
      <c r="BF69" s="308"/>
      <c r="BG69" s="266"/>
      <c r="BH69" s="261"/>
      <c r="BI69" s="261"/>
      <c r="BJ69" s="309"/>
      <c r="BK69" s="310">
        <f t="shared" si="87"/>
        <v>0</v>
      </c>
      <c r="BL69" s="310">
        <f t="shared" si="87"/>
        <v>0</v>
      </c>
      <c r="BM69" s="261"/>
      <c r="BN69" s="261"/>
      <c r="BO69" s="266"/>
      <c r="BP69" s="266"/>
      <c r="BQ69" s="262"/>
      <c r="BR69" s="262"/>
      <c r="BS69" s="266"/>
      <c r="BT69" s="266"/>
      <c r="BU69" s="262"/>
      <c r="BV69" s="262"/>
      <c r="BW69" s="266"/>
      <c r="BX69" s="266"/>
      <c r="BY69" s="262"/>
      <c r="BZ69" s="262"/>
      <c r="CA69" s="305"/>
    </row>
    <row r="70" spans="1:79" s="306" customFormat="1" ht="55.5" hidden="1" customHeight="1" x14ac:dyDescent="0.2">
      <c r="A70" s="325"/>
      <c r="B70" s="312" t="s">
        <v>485</v>
      </c>
      <c r="C70" s="266"/>
      <c r="D70" s="266"/>
      <c r="E70" s="266">
        <v>404700</v>
      </c>
      <c r="F70" s="308"/>
      <c r="G70" s="308">
        <f t="shared" si="82"/>
        <v>0</v>
      </c>
      <c r="H70" s="308">
        <f t="shared" si="82"/>
        <v>404648.64</v>
      </c>
      <c r="I70" s="261"/>
      <c r="J70" s="261"/>
      <c r="K70" s="309"/>
      <c r="L70" s="310">
        <f t="shared" si="83"/>
        <v>0</v>
      </c>
      <c r="M70" s="310">
        <f t="shared" si="83"/>
        <v>102943.88</v>
      </c>
      <c r="N70" s="261"/>
      <c r="O70" s="261"/>
      <c r="P70" s="308"/>
      <c r="Q70" s="308"/>
      <c r="R70" s="261"/>
      <c r="S70" s="261"/>
      <c r="T70" s="308"/>
      <c r="U70" s="308">
        <f>102943.88</f>
        <v>102943.88</v>
      </c>
      <c r="V70" s="261"/>
      <c r="W70" s="261"/>
      <c r="X70" s="308"/>
      <c r="Y70" s="308"/>
      <c r="Z70" s="261"/>
      <c r="AA70" s="261"/>
      <c r="AB70" s="309"/>
      <c r="AC70" s="310">
        <f t="shared" si="84"/>
        <v>0</v>
      </c>
      <c r="AD70" s="310">
        <f t="shared" si="84"/>
        <v>197969</v>
      </c>
      <c r="AE70" s="261"/>
      <c r="AF70" s="261"/>
      <c r="AG70" s="308"/>
      <c r="AH70" s="266">
        <f>197969</f>
        <v>197969</v>
      </c>
      <c r="AI70" s="261"/>
      <c r="AJ70" s="261"/>
      <c r="AK70" s="308"/>
      <c r="AL70" s="266"/>
      <c r="AM70" s="261"/>
      <c r="AN70" s="261"/>
      <c r="AO70" s="308"/>
      <c r="AP70" s="266"/>
      <c r="AQ70" s="261"/>
      <c r="AR70" s="261"/>
      <c r="AS70" s="309"/>
      <c r="AT70" s="310">
        <f t="shared" si="85"/>
        <v>0</v>
      </c>
      <c r="AU70" s="310">
        <f t="shared" si="85"/>
        <v>0</v>
      </c>
      <c r="AV70" s="261"/>
      <c r="AW70" s="261">
        <f t="shared" si="86"/>
        <v>0</v>
      </c>
      <c r="AX70" s="308"/>
      <c r="AY70" s="266"/>
      <c r="AZ70" s="261"/>
      <c r="BA70" s="261"/>
      <c r="BB70" s="308"/>
      <c r="BC70" s="266"/>
      <c r="BD70" s="261"/>
      <c r="BE70" s="261"/>
      <c r="BF70" s="308"/>
      <c r="BG70" s="266"/>
      <c r="BH70" s="261"/>
      <c r="BI70" s="261"/>
      <c r="BJ70" s="309"/>
      <c r="BK70" s="310">
        <f t="shared" si="87"/>
        <v>0</v>
      </c>
      <c r="BL70" s="310">
        <f t="shared" si="87"/>
        <v>103735.76</v>
      </c>
      <c r="BM70" s="261"/>
      <c r="BN70" s="261"/>
      <c r="BO70" s="266"/>
      <c r="BP70" s="266"/>
      <c r="BQ70" s="262"/>
      <c r="BR70" s="262"/>
      <c r="BS70" s="266"/>
      <c r="BT70" s="266">
        <f>103735.76</f>
        <v>103735.76</v>
      </c>
      <c r="BU70" s="262"/>
      <c r="BV70" s="262"/>
      <c r="BW70" s="266"/>
      <c r="BX70" s="266"/>
      <c r="BY70" s="262"/>
      <c r="BZ70" s="262"/>
      <c r="CA70" s="305"/>
    </row>
    <row r="71" spans="1:79" s="306" customFormat="1" ht="55.5" hidden="1" customHeight="1" x14ac:dyDescent="0.2">
      <c r="A71" s="307"/>
      <c r="B71" s="312" t="s">
        <v>486</v>
      </c>
      <c r="C71" s="266"/>
      <c r="D71" s="266"/>
      <c r="E71" s="266">
        <v>1037100</v>
      </c>
      <c r="F71" s="308"/>
      <c r="G71" s="308">
        <f t="shared" si="82"/>
        <v>0</v>
      </c>
      <c r="H71" s="308">
        <f t="shared" si="82"/>
        <v>1118220.0900000001</v>
      </c>
      <c r="I71" s="261"/>
      <c r="J71" s="261"/>
      <c r="K71" s="309"/>
      <c r="L71" s="310">
        <f t="shared" si="83"/>
        <v>0</v>
      </c>
      <c r="M71" s="310">
        <f t="shared" si="83"/>
        <v>487258.54000000004</v>
      </c>
      <c r="N71" s="261"/>
      <c r="O71" s="261"/>
      <c r="P71" s="308"/>
      <c r="Q71" s="308">
        <f>81214.56+24572.19+133307</f>
        <v>239093.75</v>
      </c>
      <c r="R71" s="261"/>
      <c r="S71" s="261"/>
      <c r="T71" s="308"/>
      <c r="U71" s="308">
        <f>46594.81+201569.98</f>
        <v>248164.79</v>
      </c>
      <c r="V71" s="261"/>
      <c r="W71" s="261"/>
      <c r="X71" s="308"/>
      <c r="Y71" s="308"/>
      <c r="Z71" s="261"/>
      <c r="AA71" s="261"/>
      <c r="AB71" s="309"/>
      <c r="AC71" s="310">
        <f t="shared" si="84"/>
        <v>0</v>
      </c>
      <c r="AD71" s="310">
        <f t="shared" si="84"/>
        <v>241661.02</v>
      </c>
      <c r="AE71" s="261"/>
      <c r="AF71" s="261"/>
      <c r="AG71" s="308"/>
      <c r="AH71" s="266"/>
      <c r="AI71" s="261"/>
      <c r="AJ71" s="261"/>
      <c r="AK71" s="308"/>
      <c r="AL71" s="266">
        <f>241661.02</f>
        <v>241661.02</v>
      </c>
      <c r="AM71" s="261"/>
      <c r="AN71" s="261"/>
      <c r="AO71" s="308"/>
      <c r="AP71" s="266"/>
      <c r="AQ71" s="261"/>
      <c r="AR71" s="261"/>
      <c r="AS71" s="309"/>
      <c r="AT71" s="310">
        <f t="shared" si="85"/>
        <v>0</v>
      </c>
      <c r="AU71" s="310">
        <f t="shared" si="85"/>
        <v>389300.53</v>
      </c>
      <c r="AV71" s="261"/>
      <c r="AW71" s="261">
        <f t="shared" si="86"/>
        <v>0</v>
      </c>
      <c r="AX71" s="308"/>
      <c r="AY71" s="266">
        <f>389300.53</f>
        <v>389300.53</v>
      </c>
      <c r="AZ71" s="261"/>
      <c r="BA71" s="261"/>
      <c r="BB71" s="308"/>
      <c r="BC71" s="266"/>
      <c r="BD71" s="261"/>
      <c r="BE71" s="261"/>
      <c r="BF71" s="308"/>
      <c r="BG71" s="266"/>
      <c r="BH71" s="261"/>
      <c r="BI71" s="261"/>
      <c r="BJ71" s="309"/>
      <c r="BK71" s="310">
        <f t="shared" si="87"/>
        <v>0</v>
      </c>
      <c r="BL71" s="310">
        <f t="shared" si="87"/>
        <v>0</v>
      </c>
      <c r="BM71" s="261"/>
      <c r="BN71" s="261"/>
      <c r="BO71" s="266"/>
      <c r="BP71" s="266"/>
      <c r="BQ71" s="262"/>
      <c r="BR71" s="262"/>
      <c r="BS71" s="266"/>
      <c r="BT71" s="266"/>
      <c r="BU71" s="262"/>
      <c r="BV71" s="262"/>
      <c r="BW71" s="266"/>
      <c r="BX71" s="266"/>
      <c r="BY71" s="262"/>
      <c r="BZ71" s="262"/>
      <c r="CA71" s="305"/>
    </row>
    <row r="72" spans="1:79" s="306" customFormat="1" ht="55.5" hidden="1" customHeight="1" x14ac:dyDescent="0.2">
      <c r="A72" s="307"/>
      <c r="B72" s="312" t="s">
        <v>487</v>
      </c>
      <c r="C72" s="266"/>
      <c r="D72" s="266"/>
      <c r="E72" s="266">
        <v>273000</v>
      </c>
      <c r="F72" s="308"/>
      <c r="G72" s="308">
        <f t="shared" si="82"/>
        <v>0</v>
      </c>
      <c r="H72" s="308">
        <f t="shared" si="82"/>
        <v>191756.59999999998</v>
      </c>
      <c r="I72" s="261"/>
      <c r="J72" s="261"/>
      <c r="K72" s="309"/>
      <c r="L72" s="310">
        <f t="shared" si="83"/>
        <v>0</v>
      </c>
      <c r="M72" s="310">
        <f t="shared" si="83"/>
        <v>0</v>
      </c>
      <c r="N72" s="261"/>
      <c r="O72" s="261"/>
      <c r="P72" s="308"/>
      <c r="Q72" s="308"/>
      <c r="R72" s="261"/>
      <c r="S72" s="261"/>
      <c r="T72" s="308"/>
      <c r="U72" s="308"/>
      <c r="V72" s="261"/>
      <c r="W72" s="261"/>
      <c r="X72" s="308"/>
      <c r="Y72" s="308"/>
      <c r="Z72" s="261"/>
      <c r="AA72" s="261"/>
      <c r="AB72" s="309"/>
      <c r="AC72" s="310">
        <f t="shared" si="84"/>
        <v>0</v>
      </c>
      <c r="AD72" s="310">
        <f t="shared" si="84"/>
        <v>81214.559999999998</v>
      </c>
      <c r="AE72" s="261"/>
      <c r="AF72" s="261"/>
      <c r="AG72" s="308"/>
      <c r="AH72" s="266">
        <f>81214.56</f>
        <v>81214.559999999998</v>
      </c>
      <c r="AI72" s="261"/>
      <c r="AJ72" s="261"/>
      <c r="AK72" s="308"/>
      <c r="AL72" s="266"/>
      <c r="AM72" s="261"/>
      <c r="AN72" s="261"/>
      <c r="AO72" s="308"/>
      <c r="AP72" s="266"/>
      <c r="AQ72" s="261"/>
      <c r="AR72" s="261"/>
      <c r="AS72" s="309"/>
      <c r="AT72" s="310">
        <f t="shared" si="85"/>
        <v>0</v>
      </c>
      <c r="AU72" s="310">
        <f t="shared" si="85"/>
        <v>110542.04</v>
      </c>
      <c r="AV72" s="261"/>
      <c r="AW72" s="261">
        <f t="shared" si="86"/>
        <v>0</v>
      </c>
      <c r="AX72" s="308"/>
      <c r="AY72" s="266">
        <f>110542.04</f>
        <v>110542.04</v>
      </c>
      <c r="AZ72" s="261"/>
      <c r="BA72" s="261"/>
      <c r="BB72" s="308"/>
      <c r="BC72" s="266"/>
      <c r="BD72" s="261"/>
      <c r="BE72" s="261"/>
      <c r="BF72" s="308"/>
      <c r="BG72" s="266"/>
      <c r="BH72" s="261"/>
      <c r="BI72" s="261"/>
      <c r="BJ72" s="309"/>
      <c r="BK72" s="310">
        <f t="shared" si="87"/>
        <v>0</v>
      </c>
      <c r="BL72" s="310">
        <f t="shared" si="87"/>
        <v>0</v>
      </c>
      <c r="BM72" s="261"/>
      <c r="BN72" s="261"/>
      <c r="BO72" s="266"/>
      <c r="BP72" s="266"/>
      <c r="BQ72" s="262"/>
      <c r="BR72" s="262"/>
      <c r="BS72" s="266"/>
      <c r="BT72" s="266"/>
      <c r="BU72" s="262"/>
      <c r="BV72" s="262"/>
      <c r="BW72" s="266"/>
      <c r="BX72" s="266"/>
      <c r="BY72" s="262"/>
      <c r="BZ72" s="262"/>
      <c r="CA72" s="305"/>
    </row>
    <row r="73" spans="1:79" s="306" customFormat="1" ht="55.5" hidden="1" customHeight="1" x14ac:dyDescent="0.2">
      <c r="A73" s="325"/>
      <c r="B73" s="312" t="s">
        <v>488</v>
      </c>
      <c r="C73" s="266"/>
      <c r="D73" s="266"/>
      <c r="E73" s="266">
        <v>216000</v>
      </c>
      <c r="F73" s="308"/>
      <c r="G73" s="308">
        <f t="shared" si="82"/>
        <v>0</v>
      </c>
      <c r="H73" s="308">
        <f t="shared" si="82"/>
        <v>216000</v>
      </c>
      <c r="I73" s="261"/>
      <c r="J73" s="261"/>
      <c r="K73" s="309"/>
      <c r="L73" s="310">
        <f t="shared" si="83"/>
        <v>0</v>
      </c>
      <c r="M73" s="310">
        <f t="shared" si="83"/>
        <v>54000</v>
      </c>
      <c r="N73" s="261"/>
      <c r="O73" s="261"/>
      <c r="P73" s="308"/>
      <c r="Q73" s="308">
        <v>18000</v>
      </c>
      <c r="R73" s="261"/>
      <c r="S73" s="261"/>
      <c r="T73" s="308"/>
      <c r="U73" s="308">
        <v>18000</v>
      </c>
      <c r="V73" s="261"/>
      <c r="W73" s="261"/>
      <c r="X73" s="308"/>
      <c r="Y73" s="308">
        <v>18000</v>
      </c>
      <c r="Z73" s="261"/>
      <c r="AA73" s="261"/>
      <c r="AB73" s="309"/>
      <c r="AC73" s="310">
        <f t="shared" si="84"/>
        <v>0</v>
      </c>
      <c r="AD73" s="310">
        <f t="shared" si="84"/>
        <v>54000</v>
      </c>
      <c r="AE73" s="261"/>
      <c r="AF73" s="261"/>
      <c r="AG73" s="308"/>
      <c r="AH73" s="266">
        <v>18000</v>
      </c>
      <c r="AI73" s="261"/>
      <c r="AJ73" s="261"/>
      <c r="AK73" s="308"/>
      <c r="AL73" s="266">
        <v>18000</v>
      </c>
      <c r="AM73" s="261"/>
      <c r="AN73" s="261"/>
      <c r="AO73" s="308"/>
      <c r="AP73" s="266">
        <v>18000</v>
      </c>
      <c r="AQ73" s="261"/>
      <c r="AR73" s="261"/>
      <c r="AS73" s="309"/>
      <c r="AT73" s="310">
        <f t="shared" si="85"/>
        <v>0</v>
      </c>
      <c r="AU73" s="310">
        <f t="shared" si="85"/>
        <v>54000</v>
      </c>
      <c r="AV73" s="261"/>
      <c r="AW73" s="261">
        <f t="shared" si="86"/>
        <v>0</v>
      </c>
      <c r="AX73" s="308"/>
      <c r="AY73" s="266">
        <v>18000</v>
      </c>
      <c r="AZ73" s="261"/>
      <c r="BA73" s="261"/>
      <c r="BB73" s="308"/>
      <c r="BC73" s="266">
        <v>18000</v>
      </c>
      <c r="BD73" s="261"/>
      <c r="BE73" s="261"/>
      <c r="BF73" s="308"/>
      <c r="BG73" s="266">
        <v>18000</v>
      </c>
      <c r="BH73" s="261"/>
      <c r="BI73" s="261"/>
      <c r="BJ73" s="309"/>
      <c r="BK73" s="310">
        <f t="shared" si="87"/>
        <v>0</v>
      </c>
      <c r="BL73" s="310">
        <f t="shared" si="87"/>
        <v>54000</v>
      </c>
      <c r="BM73" s="261"/>
      <c r="BN73" s="261"/>
      <c r="BO73" s="266"/>
      <c r="BP73" s="266">
        <v>18000</v>
      </c>
      <c r="BQ73" s="262"/>
      <c r="BR73" s="262"/>
      <c r="BS73" s="266"/>
      <c r="BT73" s="266">
        <v>18000</v>
      </c>
      <c r="BU73" s="262"/>
      <c r="BV73" s="262"/>
      <c r="BW73" s="266"/>
      <c r="BX73" s="266">
        <v>18000</v>
      </c>
      <c r="BY73" s="262"/>
      <c r="BZ73" s="262"/>
      <c r="CA73" s="305"/>
    </row>
    <row r="74" spans="1:79" s="313" customFormat="1" ht="42" hidden="1" customHeight="1" x14ac:dyDescent="0.25">
      <c r="A74" s="300" t="s">
        <v>400</v>
      </c>
      <c r="B74" s="301" t="s">
        <v>489</v>
      </c>
      <c r="C74" s="267">
        <v>725000</v>
      </c>
      <c r="D74" s="267">
        <v>651400</v>
      </c>
      <c r="E74" s="267">
        <f>SUM(E75:E75)</f>
        <v>651400</v>
      </c>
      <c r="F74" s="303">
        <f>K74+AB74+AS74+BJ74</f>
        <v>651400</v>
      </c>
      <c r="G74" s="304">
        <f>SUM(G75:G75)</f>
        <v>651332</v>
      </c>
      <c r="H74" s="304">
        <f>SUM(H75:H75)</f>
        <v>651332</v>
      </c>
      <c r="I74" s="258">
        <f>SUM(I75:I75)</f>
        <v>0</v>
      </c>
      <c r="J74" s="258">
        <f>SUM(J75:J75)</f>
        <v>0</v>
      </c>
      <c r="K74" s="267">
        <v>181200</v>
      </c>
      <c r="L74" s="304">
        <f t="shared" ref="L74:AA74" si="88">SUM(L75:L75)</f>
        <v>181149</v>
      </c>
      <c r="M74" s="304">
        <f t="shared" si="88"/>
        <v>181149</v>
      </c>
      <c r="N74" s="258">
        <f t="shared" si="88"/>
        <v>0</v>
      </c>
      <c r="O74" s="258">
        <f t="shared" si="88"/>
        <v>0</v>
      </c>
      <c r="P74" s="304">
        <f t="shared" si="88"/>
        <v>60383</v>
      </c>
      <c r="Q74" s="304">
        <f>SUM(Q75:Q75)</f>
        <v>60383</v>
      </c>
      <c r="R74" s="258">
        <f t="shared" si="88"/>
        <v>0</v>
      </c>
      <c r="S74" s="258">
        <f t="shared" si="88"/>
        <v>0</v>
      </c>
      <c r="T74" s="304">
        <f t="shared" si="88"/>
        <v>60383</v>
      </c>
      <c r="U74" s="304">
        <f>SUM(U75:U75)</f>
        <v>60383</v>
      </c>
      <c r="V74" s="258">
        <f t="shared" si="88"/>
        <v>0</v>
      </c>
      <c r="W74" s="258">
        <f t="shared" si="88"/>
        <v>0</v>
      </c>
      <c r="X74" s="304">
        <f t="shared" si="88"/>
        <v>60383</v>
      </c>
      <c r="Y74" s="304">
        <f>SUM(Y75:Y75)</f>
        <v>60383</v>
      </c>
      <c r="Z74" s="258">
        <f t="shared" si="88"/>
        <v>0</v>
      </c>
      <c r="AA74" s="258">
        <f t="shared" si="88"/>
        <v>0</v>
      </c>
      <c r="AB74" s="267">
        <v>181300</v>
      </c>
      <c r="AC74" s="304">
        <f t="shared" ref="AC74:AR74" si="89">SUM(AC75:AC75)</f>
        <v>181149</v>
      </c>
      <c r="AD74" s="304">
        <f t="shared" si="89"/>
        <v>181149</v>
      </c>
      <c r="AE74" s="258">
        <f t="shared" si="89"/>
        <v>0</v>
      </c>
      <c r="AF74" s="258">
        <f t="shared" si="89"/>
        <v>0</v>
      </c>
      <c r="AG74" s="304">
        <f t="shared" si="89"/>
        <v>60383</v>
      </c>
      <c r="AH74" s="267">
        <f>SUM(AH75:AH75)</f>
        <v>60383</v>
      </c>
      <c r="AI74" s="258">
        <f t="shared" si="89"/>
        <v>0</v>
      </c>
      <c r="AJ74" s="258">
        <f t="shared" si="89"/>
        <v>0</v>
      </c>
      <c r="AK74" s="304">
        <f t="shared" si="89"/>
        <v>60383</v>
      </c>
      <c r="AL74" s="267">
        <f>SUM(AL75:AL75)</f>
        <v>60383</v>
      </c>
      <c r="AM74" s="258">
        <f t="shared" si="89"/>
        <v>0</v>
      </c>
      <c r="AN74" s="258">
        <f t="shared" si="89"/>
        <v>0</v>
      </c>
      <c r="AO74" s="304">
        <f t="shared" si="89"/>
        <v>60383</v>
      </c>
      <c r="AP74" s="267">
        <f>SUM(AP75:AP75)</f>
        <v>60383</v>
      </c>
      <c r="AQ74" s="258">
        <f t="shared" si="89"/>
        <v>0</v>
      </c>
      <c r="AR74" s="258">
        <f t="shared" si="89"/>
        <v>0</v>
      </c>
      <c r="AS74" s="267">
        <v>181300</v>
      </c>
      <c r="AT74" s="304">
        <f t="shared" ref="AT74:BI74" si="90">SUM(AT75:AT75)</f>
        <v>153675</v>
      </c>
      <c r="AU74" s="304">
        <f t="shared" si="90"/>
        <v>153675</v>
      </c>
      <c r="AV74" s="258">
        <f t="shared" si="90"/>
        <v>0</v>
      </c>
      <c r="AW74" s="258">
        <f t="shared" si="90"/>
        <v>0</v>
      </c>
      <c r="AX74" s="304">
        <f t="shared" si="90"/>
        <v>51225</v>
      </c>
      <c r="AY74" s="267">
        <f>SUM(AY75:AY75)</f>
        <v>51225</v>
      </c>
      <c r="AZ74" s="258">
        <f t="shared" si="90"/>
        <v>0</v>
      </c>
      <c r="BA74" s="258">
        <f t="shared" si="90"/>
        <v>0</v>
      </c>
      <c r="BB74" s="304">
        <f t="shared" si="90"/>
        <v>51225</v>
      </c>
      <c r="BC74" s="267">
        <f>SUM(BC75:BC75)</f>
        <v>51225</v>
      </c>
      <c r="BD74" s="258">
        <f t="shared" si="90"/>
        <v>0</v>
      </c>
      <c r="BE74" s="258">
        <f t="shared" si="90"/>
        <v>0</v>
      </c>
      <c r="BF74" s="304">
        <f t="shared" si="90"/>
        <v>51225</v>
      </c>
      <c r="BG74" s="267">
        <f>SUM(BG75:BG75)</f>
        <v>51225</v>
      </c>
      <c r="BH74" s="258">
        <f t="shared" si="90"/>
        <v>0</v>
      </c>
      <c r="BI74" s="258">
        <f t="shared" si="90"/>
        <v>0</v>
      </c>
      <c r="BJ74" s="267">
        <v>107600</v>
      </c>
      <c r="BK74" s="304">
        <f t="shared" ref="BK74:BZ74" si="91">SUM(BK75:BK75)</f>
        <v>135359</v>
      </c>
      <c r="BL74" s="304">
        <f t="shared" si="91"/>
        <v>135359</v>
      </c>
      <c r="BM74" s="258">
        <f t="shared" si="91"/>
        <v>0</v>
      </c>
      <c r="BN74" s="258">
        <f t="shared" si="91"/>
        <v>0</v>
      </c>
      <c r="BO74" s="267">
        <f t="shared" si="91"/>
        <v>51225</v>
      </c>
      <c r="BP74" s="267">
        <f>SUM(BP75:BP75)</f>
        <v>51225</v>
      </c>
      <c r="BQ74" s="259">
        <f t="shared" si="91"/>
        <v>0</v>
      </c>
      <c r="BR74" s="259">
        <f t="shared" si="91"/>
        <v>0</v>
      </c>
      <c r="BS74" s="267">
        <f t="shared" si="91"/>
        <v>42067</v>
      </c>
      <c r="BT74" s="267">
        <f>SUM(BT75:BT75)</f>
        <v>42067</v>
      </c>
      <c r="BU74" s="259">
        <f t="shared" si="91"/>
        <v>0</v>
      </c>
      <c r="BV74" s="259">
        <f t="shared" si="91"/>
        <v>0</v>
      </c>
      <c r="BW74" s="267">
        <f t="shared" si="91"/>
        <v>42067</v>
      </c>
      <c r="BX74" s="267">
        <f>SUM(BX75:BX75)</f>
        <v>42067</v>
      </c>
      <c r="BY74" s="259">
        <f t="shared" si="91"/>
        <v>0</v>
      </c>
      <c r="BZ74" s="259">
        <f t="shared" si="91"/>
        <v>0</v>
      </c>
      <c r="CA74" s="305"/>
    </row>
    <row r="75" spans="1:79" s="313" customFormat="1" ht="42" hidden="1" customHeight="1" x14ac:dyDescent="0.25">
      <c r="A75" s="325"/>
      <c r="B75" s="268" t="s">
        <v>401</v>
      </c>
      <c r="C75" s="266"/>
      <c r="D75" s="266"/>
      <c r="E75" s="266">
        <v>651400</v>
      </c>
      <c r="F75" s="308"/>
      <c r="G75" s="308">
        <f>L75+AC75+AT75+BK75</f>
        <v>651332</v>
      </c>
      <c r="H75" s="308">
        <f>M75+AD75+AU75+BL75</f>
        <v>651332</v>
      </c>
      <c r="I75" s="261"/>
      <c r="J75" s="261">
        <f>O75+AF75+AW75+BN75</f>
        <v>0</v>
      </c>
      <c r="K75" s="309"/>
      <c r="L75" s="310">
        <f>P75+T75+X75</f>
        <v>181149</v>
      </c>
      <c r="M75" s="310">
        <f>Q75+U75+Y75</f>
        <v>181149</v>
      </c>
      <c r="N75" s="261"/>
      <c r="O75" s="261"/>
      <c r="P75" s="308">
        <v>60383</v>
      </c>
      <c r="Q75" s="308">
        <v>60383</v>
      </c>
      <c r="R75" s="261"/>
      <c r="S75" s="261"/>
      <c r="T75" s="308">
        <v>60383</v>
      </c>
      <c r="U75" s="308">
        <v>60383</v>
      </c>
      <c r="V75" s="261"/>
      <c r="W75" s="261"/>
      <c r="X75" s="308">
        <v>60383</v>
      </c>
      <c r="Y75" s="308">
        <v>60383</v>
      </c>
      <c r="Z75" s="261"/>
      <c r="AA75" s="261"/>
      <c r="AB75" s="309"/>
      <c r="AC75" s="310">
        <f>AG75+AK75+AO75</f>
        <v>181149</v>
      </c>
      <c r="AD75" s="310">
        <f>AH75+AL75+AP75</f>
        <v>181149</v>
      </c>
      <c r="AE75" s="261"/>
      <c r="AF75" s="261"/>
      <c r="AG75" s="308">
        <v>60383</v>
      </c>
      <c r="AH75" s="266">
        <v>60383</v>
      </c>
      <c r="AI75" s="261"/>
      <c r="AJ75" s="261"/>
      <c r="AK75" s="308">
        <v>60383</v>
      </c>
      <c r="AL75" s="266">
        <v>60383</v>
      </c>
      <c r="AM75" s="261"/>
      <c r="AN75" s="261"/>
      <c r="AO75" s="308">
        <v>60383</v>
      </c>
      <c r="AP75" s="266">
        <v>60383</v>
      </c>
      <c r="AQ75" s="261"/>
      <c r="AR75" s="261"/>
      <c r="AS75" s="309"/>
      <c r="AT75" s="310">
        <f>AX75+BB75+BF75</f>
        <v>153675</v>
      </c>
      <c r="AU75" s="310">
        <f>AY75+BC75+BG75</f>
        <v>153675</v>
      </c>
      <c r="AV75" s="261"/>
      <c r="AW75" s="261">
        <f>BA75+BE75+BI75</f>
        <v>0</v>
      </c>
      <c r="AX75" s="308">
        <v>51225</v>
      </c>
      <c r="AY75" s="266">
        <v>51225</v>
      </c>
      <c r="AZ75" s="261"/>
      <c r="BA75" s="261"/>
      <c r="BB75" s="308">
        <v>51225</v>
      </c>
      <c r="BC75" s="266">
        <v>51225</v>
      </c>
      <c r="BD75" s="261"/>
      <c r="BE75" s="261"/>
      <c r="BF75" s="308">
        <v>51225</v>
      </c>
      <c r="BG75" s="266">
        <v>51225</v>
      </c>
      <c r="BH75" s="261"/>
      <c r="BI75" s="261"/>
      <c r="BJ75" s="309"/>
      <c r="BK75" s="310">
        <f>BO75+BS75+BW75</f>
        <v>135359</v>
      </c>
      <c r="BL75" s="310">
        <f>BP75+BT75+BX75</f>
        <v>135359</v>
      </c>
      <c r="BM75" s="261"/>
      <c r="BN75" s="261"/>
      <c r="BO75" s="266">
        <v>51225</v>
      </c>
      <c r="BP75" s="266">
        <v>51225</v>
      </c>
      <c r="BQ75" s="262"/>
      <c r="BR75" s="262"/>
      <c r="BS75" s="266">
        <v>42067</v>
      </c>
      <c r="BT75" s="266">
        <v>42067</v>
      </c>
      <c r="BU75" s="262"/>
      <c r="BV75" s="262"/>
      <c r="BW75" s="266">
        <v>42067</v>
      </c>
      <c r="BX75" s="266">
        <v>42067</v>
      </c>
      <c r="BY75" s="262"/>
      <c r="BZ75" s="262"/>
      <c r="CA75" s="305"/>
    </row>
    <row r="76" spans="1:79" s="313" customFormat="1" ht="42" hidden="1" customHeight="1" x14ac:dyDescent="0.25">
      <c r="A76" s="300" t="s">
        <v>402</v>
      </c>
      <c r="B76" s="301" t="s">
        <v>403</v>
      </c>
      <c r="C76" s="267">
        <v>26000000</v>
      </c>
      <c r="D76" s="267">
        <v>25348200</v>
      </c>
      <c r="E76" s="267">
        <f>SUM(E77:E80)</f>
        <v>25348200</v>
      </c>
      <c r="F76" s="303">
        <f>K76+AB76+AS76+BJ76</f>
        <v>25348200</v>
      </c>
      <c r="G76" s="304">
        <f>SUM(G77:G80)</f>
        <v>24756422.760000002</v>
      </c>
      <c r="H76" s="304">
        <f t="shared" ref="H76:BS76" si="92">SUM(H77:H80)</f>
        <v>25346035.690000001</v>
      </c>
      <c r="I76" s="258">
        <f t="shared" si="92"/>
        <v>0</v>
      </c>
      <c r="J76" s="258">
        <f t="shared" si="92"/>
        <v>0</v>
      </c>
      <c r="K76" s="267">
        <v>6522500</v>
      </c>
      <c r="L76" s="304">
        <f t="shared" si="92"/>
        <v>6047264.5200000005</v>
      </c>
      <c r="M76" s="304">
        <f t="shared" si="92"/>
        <v>5997895.5200000005</v>
      </c>
      <c r="N76" s="258">
        <f t="shared" si="92"/>
        <v>0</v>
      </c>
      <c r="O76" s="258">
        <f t="shared" si="92"/>
        <v>0</v>
      </c>
      <c r="P76" s="304">
        <f t="shared" si="92"/>
        <v>1902615.8299999998</v>
      </c>
      <c r="Q76" s="304">
        <f t="shared" si="92"/>
        <v>326540</v>
      </c>
      <c r="R76" s="258">
        <f t="shared" si="92"/>
        <v>0</v>
      </c>
      <c r="S76" s="258">
        <f t="shared" si="92"/>
        <v>0</v>
      </c>
      <c r="T76" s="304">
        <f t="shared" si="92"/>
        <v>2072523.77</v>
      </c>
      <c r="U76" s="304">
        <f t="shared" si="92"/>
        <v>2053243.3699999999</v>
      </c>
      <c r="V76" s="258">
        <f t="shared" si="92"/>
        <v>0</v>
      </c>
      <c r="W76" s="258">
        <f t="shared" si="92"/>
        <v>0</v>
      </c>
      <c r="X76" s="304">
        <f t="shared" si="92"/>
        <v>2072124.92</v>
      </c>
      <c r="Y76" s="304">
        <f t="shared" si="92"/>
        <v>3618112.15</v>
      </c>
      <c r="Z76" s="258">
        <f t="shared" si="92"/>
        <v>0</v>
      </c>
      <c r="AA76" s="258">
        <f t="shared" si="92"/>
        <v>0</v>
      </c>
      <c r="AB76" s="267">
        <v>6518500</v>
      </c>
      <c r="AC76" s="304">
        <f t="shared" ref="AC76:AH76" si="93">SUM(AC77:AC80)</f>
        <v>6134039.6200000001</v>
      </c>
      <c r="AD76" s="304">
        <f t="shared" si="93"/>
        <v>6144408.6200000001</v>
      </c>
      <c r="AE76" s="258">
        <f t="shared" si="93"/>
        <v>0</v>
      </c>
      <c r="AF76" s="258">
        <f t="shared" si="93"/>
        <v>0</v>
      </c>
      <c r="AG76" s="304">
        <f t="shared" si="93"/>
        <v>2050734.98</v>
      </c>
      <c r="AH76" s="267">
        <f t="shared" si="93"/>
        <v>2028102.66</v>
      </c>
      <c r="AI76" s="258">
        <f t="shared" si="92"/>
        <v>0</v>
      </c>
      <c r="AJ76" s="258">
        <f t="shared" si="92"/>
        <v>0</v>
      </c>
      <c r="AK76" s="304">
        <f t="shared" si="92"/>
        <v>2007630.7</v>
      </c>
      <c r="AL76" s="267">
        <f t="shared" si="92"/>
        <v>2079632.02</v>
      </c>
      <c r="AM76" s="258">
        <f t="shared" si="92"/>
        <v>0</v>
      </c>
      <c r="AN76" s="258">
        <f t="shared" si="92"/>
        <v>0</v>
      </c>
      <c r="AO76" s="304">
        <f t="shared" si="92"/>
        <v>2075673.94</v>
      </c>
      <c r="AP76" s="267">
        <f t="shared" si="92"/>
        <v>2036673.94</v>
      </c>
      <c r="AQ76" s="258">
        <f t="shared" si="92"/>
        <v>0</v>
      </c>
      <c r="AR76" s="258">
        <f t="shared" si="92"/>
        <v>0</v>
      </c>
      <c r="AS76" s="267">
        <v>6495500</v>
      </c>
      <c r="AT76" s="304">
        <f t="shared" si="92"/>
        <v>6094630.9299999997</v>
      </c>
      <c r="AU76" s="304">
        <f t="shared" si="92"/>
        <v>6118958.5299999993</v>
      </c>
      <c r="AV76" s="258">
        <f>SUM(AV77:AV80)</f>
        <v>0</v>
      </c>
      <c r="AW76" s="258">
        <f>SUM(AW77:AW80)</f>
        <v>0</v>
      </c>
      <c r="AX76" s="304">
        <f>SUM(AX77:AX80)</f>
        <v>2035764.71</v>
      </c>
      <c r="AY76" s="267">
        <f>SUM(AY77:AY80)</f>
        <v>2067180.21</v>
      </c>
      <c r="AZ76" s="258">
        <f t="shared" si="92"/>
        <v>0</v>
      </c>
      <c r="BA76" s="258">
        <f t="shared" si="92"/>
        <v>0</v>
      </c>
      <c r="BB76" s="304">
        <f t="shared" si="92"/>
        <v>2009429.5</v>
      </c>
      <c r="BC76" s="267">
        <f t="shared" si="92"/>
        <v>2015133.2</v>
      </c>
      <c r="BD76" s="258">
        <f t="shared" si="92"/>
        <v>0</v>
      </c>
      <c r="BE76" s="258">
        <f t="shared" si="92"/>
        <v>0</v>
      </c>
      <c r="BF76" s="304">
        <f t="shared" si="92"/>
        <v>2049436.72</v>
      </c>
      <c r="BG76" s="267">
        <f t="shared" si="92"/>
        <v>2036645.1199999999</v>
      </c>
      <c r="BH76" s="258">
        <f t="shared" si="92"/>
        <v>0</v>
      </c>
      <c r="BI76" s="258">
        <f t="shared" si="92"/>
        <v>0</v>
      </c>
      <c r="BJ76" s="267">
        <v>5811700</v>
      </c>
      <c r="BK76" s="304">
        <f t="shared" si="92"/>
        <v>6480487.6900000004</v>
      </c>
      <c r="BL76" s="304">
        <f t="shared" si="92"/>
        <v>7084773.0200000005</v>
      </c>
      <c r="BM76" s="258">
        <f>SUM(BM77:BM80)</f>
        <v>0</v>
      </c>
      <c r="BN76" s="258">
        <f>SUM(BN77:BN80)</f>
        <v>0</v>
      </c>
      <c r="BO76" s="267">
        <f t="shared" si="92"/>
        <v>2063761.19</v>
      </c>
      <c r="BP76" s="267">
        <f t="shared" si="92"/>
        <v>2078384.52</v>
      </c>
      <c r="BQ76" s="259">
        <f t="shared" si="92"/>
        <v>0</v>
      </c>
      <c r="BR76" s="259">
        <f t="shared" si="92"/>
        <v>0</v>
      </c>
      <c r="BS76" s="267">
        <f t="shared" si="92"/>
        <v>2092710.19</v>
      </c>
      <c r="BT76" s="267">
        <f>SUM(BT77:BT80)</f>
        <v>2093217.19</v>
      </c>
      <c r="BU76" s="259">
        <f t="shared" ref="BU76:BZ76" si="94">SUM(BU77:BU80)</f>
        <v>0</v>
      </c>
      <c r="BV76" s="259">
        <f t="shared" si="94"/>
        <v>0</v>
      </c>
      <c r="BW76" s="267">
        <f t="shared" si="94"/>
        <v>2324016.31</v>
      </c>
      <c r="BX76" s="267">
        <f t="shared" si="94"/>
        <v>2913171.3099999996</v>
      </c>
      <c r="BY76" s="259">
        <f t="shared" si="94"/>
        <v>0</v>
      </c>
      <c r="BZ76" s="259">
        <f t="shared" si="94"/>
        <v>0</v>
      </c>
      <c r="CA76" s="305"/>
    </row>
    <row r="77" spans="1:79" s="313" customFormat="1" ht="42" hidden="1" customHeight="1" x14ac:dyDescent="0.25">
      <c r="A77" s="328"/>
      <c r="B77" s="272" t="s">
        <v>404</v>
      </c>
      <c r="C77" s="266"/>
      <c r="D77" s="266"/>
      <c r="E77" s="266">
        <v>18961600</v>
      </c>
      <c r="F77" s="308"/>
      <c r="G77" s="308">
        <f>L77+AC77+AT77+BK77</f>
        <v>18369891.990000002</v>
      </c>
      <c r="H77" s="308">
        <f t="shared" ref="G77:H80" si="95">M77+AD77+AU77+BL77</f>
        <v>18959504.920000002</v>
      </c>
      <c r="I77" s="261"/>
      <c r="J77" s="261">
        <f>O77+AF77+AW77+BN77</f>
        <v>0</v>
      </c>
      <c r="K77" s="309"/>
      <c r="L77" s="310">
        <f t="shared" ref="L77:M80" si="96">P77+T77+X77</f>
        <v>4595995.62</v>
      </c>
      <c r="M77" s="310">
        <f t="shared" si="96"/>
        <v>4590275.62</v>
      </c>
      <c r="N77" s="261"/>
      <c r="O77" s="261"/>
      <c r="P77" s="308">
        <v>1531500.39</v>
      </c>
      <c r="Q77" s="308"/>
      <c r="R77" s="261"/>
      <c r="S77" s="261"/>
      <c r="T77" s="308">
        <v>1532043.23</v>
      </c>
      <c r="U77" s="308">
        <v>1531500.39</v>
      </c>
      <c r="V77" s="261"/>
      <c r="W77" s="261"/>
      <c r="X77" s="308">
        <v>1532452</v>
      </c>
      <c r="Y77" s="308">
        <v>3058775.23</v>
      </c>
      <c r="Z77" s="261"/>
      <c r="AA77" s="261"/>
      <c r="AB77" s="309"/>
      <c r="AC77" s="310">
        <f t="shared" ref="AC77:AD80" si="97">AG77+AK77+AO77</f>
        <v>4593171.75</v>
      </c>
      <c r="AD77" s="310">
        <f t="shared" si="97"/>
        <v>4598891.75</v>
      </c>
      <c r="AE77" s="261"/>
      <c r="AF77" s="261"/>
      <c r="AG77" s="308">
        <v>1532173.27</v>
      </c>
      <c r="AH77" s="266">
        <v>1509177.95</v>
      </c>
      <c r="AI77" s="261"/>
      <c r="AJ77" s="261"/>
      <c r="AK77" s="308">
        <v>1531351.55</v>
      </c>
      <c r="AL77" s="266">
        <v>1560066.87</v>
      </c>
      <c r="AM77" s="261"/>
      <c r="AN77" s="261"/>
      <c r="AO77" s="308">
        <v>1529646.93</v>
      </c>
      <c r="AP77" s="266">
        <v>1529646.93</v>
      </c>
      <c r="AQ77" s="261"/>
      <c r="AR77" s="261"/>
      <c r="AS77" s="309"/>
      <c r="AT77" s="310">
        <f t="shared" ref="AT77:AU80" si="98">AX77+BB77+BF77</f>
        <v>4591475.96</v>
      </c>
      <c r="AU77" s="310">
        <f t="shared" si="98"/>
        <v>4548716.5599999996</v>
      </c>
      <c r="AV77" s="261"/>
      <c r="AW77" s="261">
        <f>BA77+BE77+BI77</f>
        <v>0</v>
      </c>
      <c r="AX77" s="308">
        <v>1530150.15</v>
      </c>
      <c r="AY77" s="266">
        <v>1527621.65</v>
      </c>
      <c r="AZ77" s="261"/>
      <c r="BA77" s="261"/>
      <c r="BB77" s="308">
        <v>1529998.55</v>
      </c>
      <c r="BC77" s="266">
        <v>1491646.25</v>
      </c>
      <c r="BD77" s="261"/>
      <c r="BE77" s="261"/>
      <c r="BF77" s="308">
        <v>1531327.26</v>
      </c>
      <c r="BG77" s="266">
        <v>1529448.66</v>
      </c>
      <c r="BH77" s="261"/>
      <c r="BI77" s="261"/>
      <c r="BJ77" s="309"/>
      <c r="BK77" s="310">
        <f t="shared" ref="BK77:BL80" si="99">BO77+BS77+BW77</f>
        <v>4589248.66</v>
      </c>
      <c r="BL77" s="310">
        <f t="shared" si="99"/>
        <v>5221620.99</v>
      </c>
      <c r="BM77" s="261"/>
      <c r="BN77" s="261"/>
      <c r="BO77" s="266">
        <v>1528932.21</v>
      </c>
      <c r="BP77" s="266">
        <v>1532642.54</v>
      </c>
      <c r="BQ77" s="262"/>
      <c r="BR77" s="262"/>
      <c r="BS77" s="266">
        <v>1531053.67</v>
      </c>
      <c r="BT77" s="266">
        <v>1531560.67</v>
      </c>
      <c r="BU77" s="262"/>
      <c r="BV77" s="262"/>
      <c r="BW77" s="266">
        <v>1529262.78</v>
      </c>
      <c r="BX77" s="266">
        <v>2157417.7799999998</v>
      </c>
      <c r="BY77" s="262"/>
      <c r="BZ77" s="262"/>
      <c r="CA77" s="305"/>
    </row>
    <row r="78" spans="1:79" s="313" customFormat="1" ht="39.75" hidden="1" customHeight="1" x14ac:dyDescent="0.25">
      <c r="A78" s="328"/>
      <c r="B78" s="268" t="s">
        <v>405</v>
      </c>
      <c r="C78" s="266"/>
      <c r="D78" s="266"/>
      <c r="E78" s="266">
        <v>3687400</v>
      </c>
      <c r="F78" s="308"/>
      <c r="G78" s="308">
        <f>L78+AC78+AT78+BK78</f>
        <v>3687395.39</v>
      </c>
      <c r="H78" s="308">
        <f t="shared" si="95"/>
        <v>3687395.39</v>
      </c>
      <c r="I78" s="261"/>
      <c r="J78" s="261">
        <f>O78+AF78+AW78+BN78</f>
        <v>0</v>
      </c>
      <c r="K78" s="309"/>
      <c r="L78" s="310">
        <f t="shared" si="96"/>
        <v>922478</v>
      </c>
      <c r="M78" s="310">
        <f t="shared" si="96"/>
        <v>922478</v>
      </c>
      <c r="N78" s="261"/>
      <c r="O78" s="261"/>
      <c r="P78" s="308">
        <v>307344</v>
      </c>
      <c r="Q78" s="308">
        <v>307344</v>
      </c>
      <c r="R78" s="261"/>
      <c r="S78" s="261"/>
      <c r="T78" s="308">
        <v>307567</v>
      </c>
      <c r="U78" s="308">
        <v>302587</v>
      </c>
      <c r="V78" s="261"/>
      <c r="W78" s="261"/>
      <c r="X78" s="308">
        <v>307567</v>
      </c>
      <c r="Y78" s="308">
        <v>312547</v>
      </c>
      <c r="Z78" s="261"/>
      <c r="AA78" s="261"/>
      <c r="AB78" s="309"/>
      <c r="AC78" s="310">
        <f>AG78+AK78+AO78</f>
        <v>922701</v>
      </c>
      <c r="AD78" s="310">
        <f t="shared" si="97"/>
        <v>922701</v>
      </c>
      <c r="AE78" s="261"/>
      <c r="AF78" s="261"/>
      <c r="AG78" s="308">
        <v>307567</v>
      </c>
      <c r="AH78" s="266">
        <v>307567</v>
      </c>
      <c r="AI78" s="261"/>
      <c r="AJ78" s="261"/>
      <c r="AK78" s="308">
        <v>307567</v>
      </c>
      <c r="AL78" s="266">
        <v>307567</v>
      </c>
      <c r="AM78" s="261"/>
      <c r="AN78" s="261"/>
      <c r="AO78" s="308">
        <v>307567</v>
      </c>
      <c r="AP78" s="266">
        <v>307567</v>
      </c>
      <c r="AQ78" s="261"/>
      <c r="AR78" s="261"/>
      <c r="AS78" s="309"/>
      <c r="AT78" s="310">
        <f>AX78+BB78+BF78</f>
        <v>921249.39</v>
      </c>
      <c r="AU78" s="310">
        <f t="shared" si="98"/>
        <v>915235.39</v>
      </c>
      <c r="AV78" s="261"/>
      <c r="AW78" s="261">
        <f>BA78+BE78+BI78</f>
        <v>0</v>
      </c>
      <c r="AX78" s="308">
        <v>307567</v>
      </c>
      <c r="AY78" s="266">
        <v>307567</v>
      </c>
      <c r="AZ78" s="261"/>
      <c r="BA78" s="261"/>
      <c r="BB78" s="308">
        <v>307567</v>
      </c>
      <c r="BC78" s="266">
        <v>307567</v>
      </c>
      <c r="BD78" s="261"/>
      <c r="BE78" s="261"/>
      <c r="BF78" s="308">
        <v>306115.39</v>
      </c>
      <c r="BG78" s="266">
        <v>300101.39</v>
      </c>
      <c r="BH78" s="261"/>
      <c r="BI78" s="261"/>
      <c r="BJ78" s="309"/>
      <c r="BK78" s="310">
        <f>BO78+BS78+BW78</f>
        <v>920967</v>
      </c>
      <c r="BL78" s="310">
        <f t="shared" si="99"/>
        <v>926981</v>
      </c>
      <c r="BM78" s="261"/>
      <c r="BN78" s="261"/>
      <c r="BO78" s="266">
        <v>307567</v>
      </c>
      <c r="BP78" s="266">
        <v>313581</v>
      </c>
      <c r="BQ78" s="262"/>
      <c r="BR78" s="262"/>
      <c r="BS78" s="266">
        <v>306700</v>
      </c>
      <c r="BT78" s="266">
        <v>306700</v>
      </c>
      <c r="BU78" s="262"/>
      <c r="BV78" s="262"/>
      <c r="BW78" s="266">
        <v>306700</v>
      </c>
      <c r="BX78" s="266">
        <v>306700</v>
      </c>
      <c r="BY78" s="262"/>
      <c r="BZ78" s="262"/>
      <c r="CA78" s="305"/>
    </row>
    <row r="79" spans="1:79" s="313" customFormat="1" ht="42" hidden="1" customHeight="1" x14ac:dyDescent="0.25">
      <c r="A79" s="328"/>
      <c r="B79" s="268" t="s">
        <v>406</v>
      </c>
      <c r="C79" s="266"/>
      <c r="D79" s="266"/>
      <c r="E79" s="266">
        <v>207300</v>
      </c>
      <c r="F79" s="308"/>
      <c r="G79" s="308">
        <f t="shared" si="95"/>
        <v>207279</v>
      </c>
      <c r="H79" s="308">
        <f t="shared" si="95"/>
        <v>207279</v>
      </c>
      <c r="I79" s="261"/>
      <c r="J79" s="261">
        <f>O79+AF79+AW79+BN79</f>
        <v>0</v>
      </c>
      <c r="K79" s="309"/>
      <c r="L79" s="310">
        <f t="shared" si="96"/>
        <v>57362</v>
      </c>
      <c r="M79" s="310">
        <f t="shared" si="96"/>
        <v>57362</v>
      </c>
      <c r="N79" s="261"/>
      <c r="O79" s="261"/>
      <c r="P79" s="308">
        <v>18696</v>
      </c>
      <c r="Q79" s="308">
        <v>18696</v>
      </c>
      <c r="R79" s="261"/>
      <c r="S79" s="261"/>
      <c r="T79" s="308">
        <v>19333</v>
      </c>
      <c r="U79" s="308"/>
      <c r="V79" s="261"/>
      <c r="W79" s="261"/>
      <c r="X79" s="308">
        <v>19333</v>
      </c>
      <c r="Y79" s="308">
        <v>38666</v>
      </c>
      <c r="Z79" s="261"/>
      <c r="AA79" s="261"/>
      <c r="AB79" s="309"/>
      <c r="AC79" s="310">
        <f t="shared" si="97"/>
        <v>52989</v>
      </c>
      <c r="AD79" s="310">
        <f t="shared" si="97"/>
        <v>52989</v>
      </c>
      <c r="AE79" s="261"/>
      <c r="AF79" s="261"/>
      <c r="AG79" s="308">
        <v>19333</v>
      </c>
      <c r="AH79" s="266">
        <v>19333</v>
      </c>
      <c r="AI79" s="261"/>
      <c r="AJ79" s="261"/>
      <c r="AK79" s="308">
        <v>17838</v>
      </c>
      <c r="AL79" s="266">
        <v>17838</v>
      </c>
      <c r="AM79" s="261"/>
      <c r="AN79" s="261"/>
      <c r="AO79" s="308">
        <v>15818</v>
      </c>
      <c r="AP79" s="266">
        <v>15818</v>
      </c>
      <c r="AQ79" s="261"/>
      <c r="AR79" s="261"/>
      <c r="AS79" s="309"/>
      <c r="AT79" s="310">
        <f t="shared" si="98"/>
        <v>47454</v>
      </c>
      <c r="AU79" s="310">
        <f t="shared" si="98"/>
        <v>47454</v>
      </c>
      <c r="AV79" s="261"/>
      <c r="AW79" s="261">
        <f>BA79+BE79+BI79</f>
        <v>0</v>
      </c>
      <c r="AX79" s="308">
        <v>15818</v>
      </c>
      <c r="AY79" s="266">
        <v>15818</v>
      </c>
      <c r="AZ79" s="261"/>
      <c r="BA79" s="261"/>
      <c r="BB79" s="308">
        <v>15818</v>
      </c>
      <c r="BC79" s="266">
        <v>15818</v>
      </c>
      <c r="BD79" s="261"/>
      <c r="BE79" s="261"/>
      <c r="BF79" s="308">
        <v>15818</v>
      </c>
      <c r="BG79" s="266">
        <v>15818</v>
      </c>
      <c r="BH79" s="261"/>
      <c r="BI79" s="261"/>
      <c r="BJ79" s="309"/>
      <c r="BK79" s="310">
        <f t="shared" si="99"/>
        <v>49474</v>
      </c>
      <c r="BL79" s="310">
        <f t="shared" si="99"/>
        <v>49474</v>
      </c>
      <c r="BM79" s="261"/>
      <c r="BN79" s="261"/>
      <c r="BO79" s="266">
        <v>15818</v>
      </c>
      <c r="BP79" s="266">
        <v>15818</v>
      </c>
      <c r="BQ79" s="262"/>
      <c r="BR79" s="262"/>
      <c r="BS79" s="266">
        <v>15818</v>
      </c>
      <c r="BT79" s="266">
        <v>15818</v>
      </c>
      <c r="BU79" s="262"/>
      <c r="BV79" s="262"/>
      <c r="BW79" s="266">
        <v>17838</v>
      </c>
      <c r="BX79" s="266">
        <v>17838</v>
      </c>
      <c r="BY79" s="262"/>
      <c r="BZ79" s="262"/>
      <c r="CA79" s="305"/>
    </row>
    <row r="80" spans="1:79" s="313" customFormat="1" ht="42" hidden="1" customHeight="1" x14ac:dyDescent="0.25">
      <c r="A80" s="328"/>
      <c r="B80" s="268" t="s">
        <v>407</v>
      </c>
      <c r="C80" s="266"/>
      <c r="D80" s="266"/>
      <c r="E80" s="266">
        <v>2491900</v>
      </c>
      <c r="F80" s="308"/>
      <c r="G80" s="308">
        <f t="shared" si="95"/>
        <v>2491856.38</v>
      </c>
      <c r="H80" s="308">
        <f t="shared" si="95"/>
        <v>2491856.38</v>
      </c>
      <c r="I80" s="261"/>
      <c r="J80" s="261">
        <f>O80+AF80+AW80+BN80</f>
        <v>0</v>
      </c>
      <c r="K80" s="309"/>
      <c r="L80" s="310">
        <f t="shared" si="96"/>
        <v>471428.9</v>
      </c>
      <c r="M80" s="310">
        <f t="shared" si="96"/>
        <v>427779.9</v>
      </c>
      <c r="N80" s="261"/>
      <c r="O80" s="261"/>
      <c r="P80" s="308">
        <v>45075.44</v>
      </c>
      <c r="Q80" s="308">
        <v>500</v>
      </c>
      <c r="R80" s="261"/>
      <c r="S80" s="261"/>
      <c r="T80" s="308">
        <v>213580.54</v>
      </c>
      <c r="U80" s="308">
        <v>219155.98</v>
      </c>
      <c r="V80" s="261"/>
      <c r="W80" s="261"/>
      <c r="X80" s="308">
        <v>212772.92</v>
      </c>
      <c r="Y80" s="308">
        <v>208123.92</v>
      </c>
      <c r="Z80" s="261"/>
      <c r="AA80" s="261"/>
      <c r="AB80" s="309"/>
      <c r="AC80" s="310">
        <f t="shared" si="97"/>
        <v>565177.87</v>
      </c>
      <c r="AD80" s="310">
        <f t="shared" si="97"/>
        <v>569826.87</v>
      </c>
      <c r="AE80" s="261"/>
      <c r="AF80" s="261"/>
      <c r="AG80" s="308">
        <v>191661.71</v>
      </c>
      <c r="AH80" s="266">
        <v>192024.71</v>
      </c>
      <c r="AI80" s="261"/>
      <c r="AJ80" s="261"/>
      <c r="AK80" s="308">
        <v>150874.15</v>
      </c>
      <c r="AL80" s="266">
        <v>194160.15</v>
      </c>
      <c r="AM80" s="261"/>
      <c r="AN80" s="261"/>
      <c r="AO80" s="308">
        <v>222642.01</v>
      </c>
      <c r="AP80" s="266">
        <v>183642.01</v>
      </c>
      <c r="AQ80" s="261"/>
      <c r="AR80" s="261"/>
      <c r="AS80" s="309"/>
      <c r="AT80" s="310">
        <f t="shared" si="98"/>
        <v>534451.58000000007</v>
      </c>
      <c r="AU80" s="310">
        <f t="shared" si="98"/>
        <v>607552.58000000007</v>
      </c>
      <c r="AV80" s="261"/>
      <c r="AW80" s="261">
        <f>BA80+BE80+BI80</f>
        <v>0</v>
      </c>
      <c r="AX80" s="308">
        <v>182229.56</v>
      </c>
      <c r="AY80" s="266">
        <v>216173.56</v>
      </c>
      <c r="AZ80" s="261"/>
      <c r="BA80" s="261"/>
      <c r="BB80" s="308">
        <v>156045.95000000001</v>
      </c>
      <c r="BC80" s="266">
        <v>200101.95</v>
      </c>
      <c r="BD80" s="261"/>
      <c r="BE80" s="261"/>
      <c r="BF80" s="308">
        <v>196176.07</v>
      </c>
      <c r="BG80" s="266">
        <v>191277.07</v>
      </c>
      <c r="BH80" s="261"/>
      <c r="BI80" s="261"/>
      <c r="BJ80" s="309"/>
      <c r="BK80" s="310">
        <f t="shared" si="99"/>
        <v>920798.03</v>
      </c>
      <c r="BL80" s="310">
        <f t="shared" si="99"/>
        <v>886697.03</v>
      </c>
      <c r="BM80" s="261"/>
      <c r="BN80" s="261"/>
      <c r="BO80" s="266">
        <v>211443.98</v>
      </c>
      <c r="BP80" s="266">
        <v>216342.98</v>
      </c>
      <c r="BQ80" s="262"/>
      <c r="BR80" s="262"/>
      <c r="BS80" s="266">
        <v>239138.52</v>
      </c>
      <c r="BT80" s="266">
        <v>239138.52</v>
      </c>
      <c r="BU80" s="262"/>
      <c r="BV80" s="262"/>
      <c r="BW80" s="266">
        <v>470215.53</v>
      </c>
      <c r="BX80" s="266">
        <f>470215.53-39000</f>
        <v>431215.53</v>
      </c>
      <c r="BY80" s="262"/>
      <c r="BZ80" s="262"/>
      <c r="CA80" s="305"/>
    </row>
    <row r="81" spans="1:79" s="306" customFormat="1" ht="42" customHeight="1" x14ac:dyDescent="0.2">
      <c r="A81" s="300" t="s">
        <v>408</v>
      </c>
      <c r="B81" s="301" t="s">
        <v>409</v>
      </c>
      <c r="C81" s="267">
        <v>22300000</v>
      </c>
      <c r="D81" s="267">
        <v>26880000</v>
      </c>
      <c r="E81" s="267">
        <f>SUM(E82:E83)</f>
        <v>26880000</v>
      </c>
      <c r="F81" s="303">
        <f>K81+AB81+AS81+BJ81</f>
        <v>26880000</v>
      </c>
      <c r="G81" s="304">
        <f>SUM(G82:G83)</f>
        <v>26878344.590000004</v>
      </c>
      <c r="H81" s="304">
        <f>SUM(H82:H83)</f>
        <v>26874341.770000003</v>
      </c>
      <c r="I81" s="258">
        <f>SUM(I82:I83)</f>
        <v>10454</v>
      </c>
      <c r="J81" s="258">
        <f>SUM(J82:J83)</f>
        <v>15107</v>
      </c>
      <c r="K81" s="267">
        <v>6101000</v>
      </c>
      <c r="L81" s="304">
        <f t="shared" ref="L81:AA81" si="100">SUM(L82:L83)</f>
        <v>7680592.2800000003</v>
      </c>
      <c r="M81" s="304">
        <f t="shared" si="100"/>
        <v>6084173.0200000005</v>
      </c>
      <c r="N81" s="258">
        <f t="shared" si="100"/>
        <v>3786</v>
      </c>
      <c r="O81" s="258">
        <f t="shared" si="100"/>
        <v>4578</v>
      </c>
      <c r="P81" s="304">
        <f t="shared" si="100"/>
        <v>2115318.19</v>
      </c>
      <c r="Q81" s="304">
        <f>SUM(Q82:Q83)</f>
        <v>1452297.04</v>
      </c>
      <c r="R81" s="258">
        <f t="shared" si="100"/>
        <v>1598</v>
      </c>
      <c r="S81" s="258">
        <f t="shared" si="100"/>
        <v>1745</v>
      </c>
      <c r="T81" s="304">
        <f t="shared" si="100"/>
        <v>2630563.46</v>
      </c>
      <c r="U81" s="304">
        <f>SUM(U82:U83)</f>
        <v>2885991.93</v>
      </c>
      <c r="V81" s="258">
        <f t="shared" si="100"/>
        <v>1266</v>
      </c>
      <c r="W81" s="258">
        <f t="shared" si="100"/>
        <v>1373</v>
      </c>
      <c r="X81" s="304">
        <f t="shared" si="100"/>
        <v>2934710.63</v>
      </c>
      <c r="Y81" s="304">
        <f>SUM(Y82:Y83)</f>
        <v>1745884.05</v>
      </c>
      <c r="Z81" s="258">
        <f t="shared" si="100"/>
        <v>1332</v>
      </c>
      <c r="AA81" s="258">
        <f t="shared" si="100"/>
        <v>1460</v>
      </c>
      <c r="AB81" s="267">
        <v>6830040</v>
      </c>
      <c r="AC81" s="304">
        <f t="shared" ref="AC81:AR81" si="101">SUM(AC82:AC83)</f>
        <v>6148678.4100000001</v>
      </c>
      <c r="AD81" s="304">
        <f t="shared" si="101"/>
        <v>6444765.7299999995</v>
      </c>
      <c r="AE81" s="258">
        <f t="shared" si="101"/>
        <v>3073</v>
      </c>
      <c r="AF81" s="258">
        <f t="shared" si="101"/>
        <v>3611</v>
      </c>
      <c r="AG81" s="304">
        <f t="shared" si="101"/>
        <v>1522805.54</v>
      </c>
      <c r="AH81" s="267">
        <f>SUM(AH82:AH83)</f>
        <v>2127041.0299999998</v>
      </c>
      <c r="AI81" s="258">
        <f t="shared" si="101"/>
        <v>895</v>
      </c>
      <c r="AJ81" s="258">
        <f t="shared" si="101"/>
        <v>951</v>
      </c>
      <c r="AK81" s="304">
        <f t="shared" si="101"/>
        <v>2131308.79</v>
      </c>
      <c r="AL81" s="267">
        <f>SUM(AL82:AL83)</f>
        <v>2836481.86</v>
      </c>
      <c r="AM81" s="258">
        <f t="shared" si="101"/>
        <v>1089</v>
      </c>
      <c r="AN81" s="258">
        <f t="shared" si="101"/>
        <v>1156</v>
      </c>
      <c r="AO81" s="304">
        <f t="shared" si="101"/>
        <v>2494564.08</v>
      </c>
      <c r="AP81" s="267">
        <f>SUM(AP82:AP83)</f>
        <v>1481242.84</v>
      </c>
      <c r="AQ81" s="258">
        <f t="shared" si="101"/>
        <v>1377</v>
      </c>
      <c r="AR81" s="258">
        <f t="shared" si="101"/>
        <v>1504</v>
      </c>
      <c r="AS81" s="267">
        <v>7091100</v>
      </c>
      <c r="AT81" s="304">
        <f t="shared" ref="AT81:BI81" si="102">SUM(AT82:AT83)</f>
        <v>5627491.1500000004</v>
      </c>
      <c r="AU81" s="304">
        <f t="shared" si="102"/>
        <v>5402200.3500000006</v>
      </c>
      <c r="AV81" s="258">
        <f t="shared" si="102"/>
        <v>2680</v>
      </c>
      <c r="AW81" s="258">
        <f t="shared" si="102"/>
        <v>3076</v>
      </c>
      <c r="AX81" s="304">
        <f t="shared" si="102"/>
        <v>1572194.38</v>
      </c>
      <c r="AY81" s="267">
        <f>SUM(AY82:AY83)</f>
        <v>2870225.34</v>
      </c>
      <c r="AZ81" s="258">
        <f t="shared" si="102"/>
        <v>946</v>
      </c>
      <c r="BA81" s="258">
        <f t="shared" si="102"/>
        <v>989</v>
      </c>
      <c r="BB81" s="304">
        <f t="shared" si="102"/>
        <v>1748530.91</v>
      </c>
      <c r="BC81" s="267">
        <f>SUM(BC82:BC83)</f>
        <v>1620466.36</v>
      </c>
      <c r="BD81" s="258">
        <f t="shared" si="102"/>
        <v>1010</v>
      </c>
      <c r="BE81" s="258">
        <f t="shared" si="102"/>
        <v>1075</v>
      </c>
      <c r="BF81" s="304">
        <f t="shared" si="102"/>
        <v>2306765.86</v>
      </c>
      <c r="BG81" s="267">
        <f>SUM(BG82:BG83)</f>
        <v>911508.65</v>
      </c>
      <c r="BH81" s="258">
        <f t="shared" si="102"/>
        <v>938</v>
      </c>
      <c r="BI81" s="258">
        <f t="shared" si="102"/>
        <v>1012</v>
      </c>
      <c r="BJ81" s="267">
        <v>6857860</v>
      </c>
      <c r="BK81" s="304">
        <f t="shared" ref="BK81:BZ81" si="103">SUM(BK82:BK83)</f>
        <v>7421582.75</v>
      </c>
      <c r="BL81" s="304">
        <f t="shared" si="103"/>
        <v>8943202.6699999999</v>
      </c>
      <c r="BM81" s="258">
        <f t="shared" si="103"/>
        <v>3272</v>
      </c>
      <c r="BN81" s="258">
        <f t="shared" si="103"/>
        <v>3842</v>
      </c>
      <c r="BO81" s="267">
        <f t="shared" si="103"/>
        <v>1606121.95</v>
      </c>
      <c r="BP81" s="267">
        <f>SUM(BP82:BP83)</f>
        <v>2642470</v>
      </c>
      <c r="BQ81" s="259">
        <f t="shared" si="103"/>
        <v>763</v>
      </c>
      <c r="BR81" s="259">
        <f t="shared" si="103"/>
        <v>811</v>
      </c>
      <c r="BS81" s="267">
        <f t="shared" si="103"/>
        <v>2384601.11</v>
      </c>
      <c r="BT81" s="267">
        <f>SUM(BT82:BT83)</f>
        <v>2615507.17</v>
      </c>
      <c r="BU81" s="259">
        <f t="shared" si="103"/>
        <v>1003</v>
      </c>
      <c r="BV81" s="259">
        <f t="shared" si="103"/>
        <v>1103</v>
      </c>
      <c r="BW81" s="267">
        <f t="shared" si="103"/>
        <v>3430859.69</v>
      </c>
      <c r="BX81" s="267">
        <f>SUM(BX82:BX83)</f>
        <v>3685225.5</v>
      </c>
      <c r="BY81" s="259">
        <f t="shared" si="103"/>
        <v>1748</v>
      </c>
      <c r="BZ81" s="259">
        <f t="shared" si="103"/>
        <v>1928</v>
      </c>
      <c r="CA81" s="305"/>
    </row>
    <row r="82" spans="1:79" s="313" customFormat="1" ht="42" customHeight="1" x14ac:dyDescent="0.25">
      <c r="A82" s="311"/>
      <c r="B82" s="268" t="s">
        <v>410</v>
      </c>
      <c r="C82" s="266"/>
      <c r="D82" s="266"/>
      <c r="E82" s="266">
        <v>26875000</v>
      </c>
      <c r="F82" s="308"/>
      <c r="G82" s="308">
        <f>L82+AC82+AT82+BK82</f>
        <v>26874144.590000004</v>
      </c>
      <c r="H82" s="308">
        <f>M82+AD82+AU82+BL82</f>
        <v>26869301.770000003</v>
      </c>
      <c r="I82" s="261">
        <v>10454</v>
      </c>
      <c r="J82" s="261">
        <f>O82+AF82+AW82+BN82</f>
        <v>15107</v>
      </c>
      <c r="K82" s="309"/>
      <c r="L82" s="310">
        <f>P82+T82+X82</f>
        <v>7680592.2800000003</v>
      </c>
      <c r="M82" s="310">
        <f>Q82+U82+Y82</f>
        <v>6084173.0200000005</v>
      </c>
      <c r="N82" s="261">
        <v>3786</v>
      </c>
      <c r="O82" s="261">
        <f>S82+W82+AA82</f>
        <v>4578</v>
      </c>
      <c r="P82" s="308">
        <v>2115318.19</v>
      </c>
      <c r="Q82" s="308">
        <v>1452297.04</v>
      </c>
      <c r="R82" s="261">
        <v>1598</v>
      </c>
      <c r="S82" s="261">
        <v>1745</v>
      </c>
      <c r="T82" s="308">
        <v>2630563.46</v>
      </c>
      <c r="U82" s="308">
        <v>2885991.93</v>
      </c>
      <c r="V82" s="261">
        <v>1266</v>
      </c>
      <c r="W82" s="261">
        <v>1373</v>
      </c>
      <c r="X82" s="308">
        <v>2934710.63</v>
      </c>
      <c r="Y82" s="308">
        <v>1745884.05</v>
      </c>
      <c r="Z82" s="261">
        <v>1332</v>
      </c>
      <c r="AA82" s="261">
        <v>1460</v>
      </c>
      <c r="AB82" s="309"/>
      <c r="AC82" s="310">
        <f>AG82+AK82+AO82</f>
        <v>6146158.4100000001</v>
      </c>
      <c r="AD82" s="310">
        <f>AH82+AL82+AP82</f>
        <v>6442245.7299999995</v>
      </c>
      <c r="AE82" s="261">
        <v>3073</v>
      </c>
      <c r="AF82" s="261">
        <f>AJ82+AN82+AR82</f>
        <v>3611</v>
      </c>
      <c r="AG82" s="308">
        <v>1521125.54</v>
      </c>
      <c r="AH82" s="266">
        <v>2125361.0299999998</v>
      </c>
      <c r="AI82" s="261">
        <v>895</v>
      </c>
      <c r="AJ82" s="261">
        <v>951</v>
      </c>
      <c r="AK82" s="308">
        <v>2131308.79</v>
      </c>
      <c r="AL82" s="266">
        <v>2836481.86</v>
      </c>
      <c r="AM82" s="261">
        <v>1089</v>
      </c>
      <c r="AN82" s="261">
        <v>1156</v>
      </c>
      <c r="AO82" s="308">
        <v>2493724.08</v>
      </c>
      <c r="AP82" s="266">
        <v>1480402.84</v>
      </c>
      <c r="AQ82" s="261">
        <v>1377</v>
      </c>
      <c r="AR82" s="261">
        <v>1504</v>
      </c>
      <c r="AS82" s="309"/>
      <c r="AT82" s="310">
        <f>AX82+BB82+BF82</f>
        <v>5626231.1500000004</v>
      </c>
      <c r="AU82" s="310">
        <f>AY82+BC82+BG82</f>
        <v>5400940.3500000006</v>
      </c>
      <c r="AV82" s="261">
        <v>2680</v>
      </c>
      <c r="AW82" s="261">
        <f>BA82+BE82+BI82</f>
        <v>3076</v>
      </c>
      <c r="AX82" s="308">
        <v>1572194.38</v>
      </c>
      <c r="AY82" s="266">
        <v>2870225.34</v>
      </c>
      <c r="AZ82" s="261">
        <v>946</v>
      </c>
      <c r="BA82" s="261">
        <v>989</v>
      </c>
      <c r="BB82" s="308">
        <v>1748530.91</v>
      </c>
      <c r="BC82" s="266">
        <v>1620466.36</v>
      </c>
      <c r="BD82" s="261">
        <v>1010</v>
      </c>
      <c r="BE82" s="261">
        <v>1075</v>
      </c>
      <c r="BF82" s="308">
        <v>2305505.86</v>
      </c>
      <c r="BG82" s="266">
        <v>910248.65</v>
      </c>
      <c r="BH82" s="261">
        <v>938</v>
      </c>
      <c r="BI82" s="261">
        <v>1012</v>
      </c>
      <c r="BJ82" s="309"/>
      <c r="BK82" s="310">
        <f>BO82+BS82+BW82</f>
        <v>7421162.75</v>
      </c>
      <c r="BL82" s="310">
        <f>BP82+BT82+BX82</f>
        <v>8941942.6699999999</v>
      </c>
      <c r="BM82" s="261">
        <v>3272</v>
      </c>
      <c r="BN82" s="261">
        <f>BR82+BV82+BZ82</f>
        <v>3842</v>
      </c>
      <c r="BO82" s="266">
        <v>1605701.95</v>
      </c>
      <c r="BP82" s="266">
        <v>2642050</v>
      </c>
      <c r="BQ82" s="262">
        <v>763</v>
      </c>
      <c r="BR82" s="262">
        <v>811</v>
      </c>
      <c r="BS82" s="266">
        <v>2384601.11</v>
      </c>
      <c r="BT82" s="266">
        <v>2615507.17</v>
      </c>
      <c r="BU82" s="262">
        <v>1003</v>
      </c>
      <c r="BV82" s="262">
        <v>1103</v>
      </c>
      <c r="BW82" s="266">
        <v>3430859.69</v>
      </c>
      <c r="BX82" s="266">
        <v>3684385.5</v>
      </c>
      <c r="BY82" s="262">
        <v>1748</v>
      </c>
      <c r="BZ82" s="262">
        <v>1928</v>
      </c>
      <c r="CA82" s="305"/>
    </row>
    <row r="83" spans="1:79" s="313" customFormat="1" ht="42" customHeight="1" x14ac:dyDescent="0.25">
      <c r="A83" s="311"/>
      <c r="B83" s="268" t="s">
        <v>411</v>
      </c>
      <c r="C83" s="266"/>
      <c r="D83" s="266"/>
      <c r="E83" s="266">
        <v>5000</v>
      </c>
      <c r="F83" s="308"/>
      <c r="G83" s="308">
        <f>L83+AC83+AT83+BK83</f>
        <v>4200</v>
      </c>
      <c r="H83" s="308">
        <f>M83+AD83+AU83+BL83</f>
        <v>5040</v>
      </c>
      <c r="I83" s="261"/>
      <c r="J83" s="261">
        <f>O83+AF83+AW83+BN83</f>
        <v>0</v>
      </c>
      <c r="K83" s="309"/>
      <c r="L83" s="310">
        <f>P83+T83+X83</f>
        <v>0</v>
      </c>
      <c r="M83" s="310">
        <f>Q83+U83+Y83</f>
        <v>0</v>
      </c>
      <c r="N83" s="261"/>
      <c r="O83" s="261"/>
      <c r="P83" s="308"/>
      <c r="Q83" s="308"/>
      <c r="R83" s="261"/>
      <c r="S83" s="261"/>
      <c r="T83" s="308"/>
      <c r="U83" s="308"/>
      <c r="V83" s="261"/>
      <c r="W83" s="261"/>
      <c r="X83" s="308"/>
      <c r="Y83" s="308"/>
      <c r="Z83" s="261"/>
      <c r="AA83" s="261"/>
      <c r="AB83" s="309"/>
      <c r="AC83" s="310">
        <f>AG83+AK83+AO83</f>
        <v>2520</v>
      </c>
      <c r="AD83" s="310">
        <f>AH83+AL83+AP83</f>
        <v>2520</v>
      </c>
      <c r="AE83" s="261"/>
      <c r="AF83" s="261"/>
      <c r="AG83" s="308">
        <v>1680</v>
      </c>
      <c r="AH83" s="266">
        <v>1680</v>
      </c>
      <c r="AI83" s="261"/>
      <c r="AJ83" s="261"/>
      <c r="AK83" s="308"/>
      <c r="AL83" s="266"/>
      <c r="AM83" s="261"/>
      <c r="AN83" s="261"/>
      <c r="AO83" s="308">
        <v>840</v>
      </c>
      <c r="AP83" s="266">
        <f>420+420</f>
        <v>840</v>
      </c>
      <c r="AQ83" s="261"/>
      <c r="AR83" s="261"/>
      <c r="AS83" s="309"/>
      <c r="AT83" s="310">
        <f>AX83+BB83+BF83</f>
        <v>1260</v>
      </c>
      <c r="AU83" s="310">
        <f>AY83+BC83+BG83</f>
        <v>1260</v>
      </c>
      <c r="AV83" s="261"/>
      <c r="AW83" s="261">
        <f>BA83+BE83+BI83</f>
        <v>0</v>
      </c>
      <c r="AX83" s="308">
        <v>0</v>
      </c>
      <c r="AY83" s="266"/>
      <c r="AZ83" s="261"/>
      <c r="BA83" s="261"/>
      <c r="BB83" s="308"/>
      <c r="BC83" s="266"/>
      <c r="BD83" s="261"/>
      <c r="BE83" s="261"/>
      <c r="BF83" s="308">
        <v>1260</v>
      </c>
      <c r="BG83" s="266">
        <f>420+420+420</f>
        <v>1260</v>
      </c>
      <c r="BH83" s="261"/>
      <c r="BI83" s="261"/>
      <c r="BJ83" s="309"/>
      <c r="BK83" s="310">
        <f>BO83+BS83+BW83</f>
        <v>420</v>
      </c>
      <c r="BL83" s="310">
        <f>BP83+BT83+BX83</f>
        <v>1260</v>
      </c>
      <c r="BM83" s="261"/>
      <c r="BN83" s="261"/>
      <c r="BO83" s="266">
        <v>420</v>
      </c>
      <c r="BP83" s="266">
        <v>420</v>
      </c>
      <c r="BQ83" s="262"/>
      <c r="BR83" s="262"/>
      <c r="BS83" s="266"/>
      <c r="BT83" s="266"/>
      <c r="BU83" s="262"/>
      <c r="BV83" s="262"/>
      <c r="BW83" s="266"/>
      <c r="BX83" s="266">
        <f>420+420</f>
        <v>840</v>
      </c>
      <c r="BY83" s="262"/>
      <c r="BZ83" s="262"/>
      <c r="CA83" s="305"/>
    </row>
    <row r="84" spans="1:79" s="306" customFormat="1" ht="42" customHeight="1" x14ac:dyDescent="0.2">
      <c r="A84" s="300" t="s">
        <v>412</v>
      </c>
      <c r="B84" s="301" t="s">
        <v>413</v>
      </c>
      <c r="C84" s="267">
        <v>1000000</v>
      </c>
      <c r="D84" s="267">
        <v>698500</v>
      </c>
      <c r="E84" s="267">
        <f>SUM(E85:E86)</f>
        <v>698500</v>
      </c>
      <c r="F84" s="303">
        <f>K84+AB84+AS84+BJ84</f>
        <v>698500</v>
      </c>
      <c r="G84" s="304">
        <f t="shared" ref="G84:AR84" si="104">SUM(G85:G86)</f>
        <v>698410.28</v>
      </c>
      <c r="H84" s="304">
        <f t="shared" si="104"/>
        <v>698410.28</v>
      </c>
      <c r="I84" s="258">
        <f t="shared" si="104"/>
        <v>18169</v>
      </c>
      <c r="J84" s="258">
        <f>SUM(J85:J86)</f>
        <v>18632</v>
      </c>
      <c r="K84" s="267">
        <v>185000</v>
      </c>
      <c r="L84" s="304">
        <f t="shared" si="104"/>
        <v>135284.4</v>
      </c>
      <c r="M84" s="304">
        <f t="shared" si="104"/>
        <v>135284.4</v>
      </c>
      <c r="N84" s="258">
        <f t="shared" si="104"/>
        <v>3675</v>
      </c>
      <c r="O84" s="258">
        <f t="shared" si="104"/>
        <v>3709</v>
      </c>
      <c r="P84" s="304">
        <f t="shared" si="104"/>
        <v>58432.97</v>
      </c>
      <c r="Q84" s="304">
        <f t="shared" si="104"/>
        <v>58432.97</v>
      </c>
      <c r="R84" s="258">
        <f t="shared" si="104"/>
        <v>1692</v>
      </c>
      <c r="S84" s="258">
        <f t="shared" si="104"/>
        <v>1707</v>
      </c>
      <c r="T84" s="304">
        <f t="shared" si="104"/>
        <v>133.47</v>
      </c>
      <c r="U84" s="304">
        <f t="shared" si="104"/>
        <v>0</v>
      </c>
      <c r="V84" s="258">
        <f t="shared" si="104"/>
        <v>1</v>
      </c>
      <c r="W84" s="258">
        <f t="shared" si="104"/>
        <v>1</v>
      </c>
      <c r="X84" s="304">
        <f t="shared" si="104"/>
        <v>76717.959999999992</v>
      </c>
      <c r="Y84" s="304">
        <f t="shared" si="104"/>
        <v>76851.429999999993</v>
      </c>
      <c r="Z84" s="258">
        <f t="shared" si="104"/>
        <v>1994</v>
      </c>
      <c r="AA84" s="258">
        <f t="shared" si="104"/>
        <v>2001</v>
      </c>
      <c r="AB84" s="267">
        <v>315000</v>
      </c>
      <c r="AC84" s="304">
        <f t="shared" ref="AC84:AH84" si="105">SUM(AC85:AC86)</f>
        <v>215134.16999999998</v>
      </c>
      <c r="AD84" s="304">
        <f t="shared" si="105"/>
        <v>215000.7</v>
      </c>
      <c r="AE84" s="258">
        <f t="shared" si="105"/>
        <v>5672</v>
      </c>
      <c r="AF84" s="258">
        <f t="shared" si="105"/>
        <v>5734</v>
      </c>
      <c r="AG84" s="304">
        <f t="shared" si="105"/>
        <v>73000.95</v>
      </c>
      <c r="AH84" s="267">
        <f t="shared" si="105"/>
        <v>72770.47</v>
      </c>
      <c r="AI84" s="258">
        <f t="shared" si="104"/>
        <v>1948</v>
      </c>
      <c r="AJ84" s="258">
        <f t="shared" si="104"/>
        <v>1970</v>
      </c>
      <c r="AK84" s="304">
        <f t="shared" si="104"/>
        <v>61472.090000000004</v>
      </c>
      <c r="AL84" s="267">
        <f t="shared" si="104"/>
        <v>61702.570000000007</v>
      </c>
      <c r="AM84" s="258">
        <f t="shared" si="104"/>
        <v>1709</v>
      </c>
      <c r="AN84" s="258">
        <f t="shared" si="104"/>
        <v>1720</v>
      </c>
      <c r="AO84" s="304">
        <f t="shared" si="104"/>
        <v>80661.13</v>
      </c>
      <c r="AP84" s="267">
        <f t="shared" si="104"/>
        <v>80527.66</v>
      </c>
      <c r="AQ84" s="258">
        <f t="shared" si="104"/>
        <v>2034</v>
      </c>
      <c r="AR84" s="258">
        <f t="shared" si="104"/>
        <v>2044</v>
      </c>
      <c r="AS84" s="267">
        <v>185000</v>
      </c>
      <c r="AT84" s="304">
        <f t="shared" ref="AT84:BZ84" si="106">SUM(AT85:AT86)</f>
        <v>107204.35</v>
      </c>
      <c r="AU84" s="304">
        <f t="shared" si="106"/>
        <v>107204.35</v>
      </c>
      <c r="AV84" s="258">
        <f t="shared" si="106"/>
        <v>2757</v>
      </c>
      <c r="AW84" s="258">
        <f t="shared" si="106"/>
        <v>2780</v>
      </c>
      <c r="AX84" s="304">
        <f t="shared" si="106"/>
        <v>78399.13</v>
      </c>
      <c r="AY84" s="267">
        <f t="shared" si="106"/>
        <v>78532.600000000006</v>
      </c>
      <c r="AZ84" s="258">
        <f t="shared" si="106"/>
        <v>2047</v>
      </c>
      <c r="BA84" s="258">
        <f t="shared" si="106"/>
        <v>2063</v>
      </c>
      <c r="BB84" s="304">
        <f t="shared" si="106"/>
        <v>251.66</v>
      </c>
      <c r="BC84" s="267">
        <f t="shared" si="106"/>
        <v>251.66</v>
      </c>
      <c r="BD84" s="258">
        <f t="shared" si="106"/>
        <v>2</v>
      </c>
      <c r="BE84" s="258">
        <f t="shared" si="106"/>
        <v>2</v>
      </c>
      <c r="BF84" s="304">
        <f t="shared" si="106"/>
        <v>28553.56</v>
      </c>
      <c r="BG84" s="267">
        <f t="shared" si="106"/>
        <v>28420.09</v>
      </c>
      <c r="BH84" s="258">
        <f t="shared" si="106"/>
        <v>711</v>
      </c>
      <c r="BI84" s="258">
        <f t="shared" si="106"/>
        <v>715</v>
      </c>
      <c r="BJ84" s="267">
        <v>13500</v>
      </c>
      <c r="BK84" s="304">
        <f t="shared" si="106"/>
        <v>240787.36</v>
      </c>
      <c r="BL84" s="304">
        <f t="shared" si="106"/>
        <v>240920.83</v>
      </c>
      <c r="BM84" s="258">
        <f>SUM(BM85:BM86)</f>
        <v>6342</v>
      </c>
      <c r="BN84" s="258">
        <f>SUM(BN85:BN86)</f>
        <v>6409</v>
      </c>
      <c r="BO84" s="267">
        <f t="shared" si="106"/>
        <v>125375.14</v>
      </c>
      <c r="BP84" s="267">
        <f t="shared" si="106"/>
        <v>117002.78</v>
      </c>
      <c r="BQ84" s="259">
        <f t="shared" si="106"/>
        <v>3168</v>
      </c>
      <c r="BR84" s="259">
        <f t="shared" si="106"/>
        <v>3191</v>
      </c>
      <c r="BS84" s="267">
        <f t="shared" si="106"/>
        <v>73321.36</v>
      </c>
      <c r="BT84" s="267">
        <f t="shared" si="106"/>
        <v>81255.09</v>
      </c>
      <c r="BU84" s="259">
        <f>SUM(BU85:BU86)</f>
        <v>2032</v>
      </c>
      <c r="BV84" s="259">
        <f>SUM(BV85:BV86)</f>
        <v>2045</v>
      </c>
      <c r="BW84" s="267">
        <f t="shared" si="106"/>
        <v>42090.86</v>
      </c>
      <c r="BX84" s="267">
        <f t="shared" si="106"/>
        <v>42662.96</v>
      </c>
      <c r="BY84" s="259">
        <f t="shared" si="106"/>
        <v>1169</v>
      </c>
      <c r="BZ84" s="259">
        <f t="shared" si="106"/>
        <v>1173</v>
      </c>
      <c r="CA84" s="305"/>
    </row>
    <row r="85" spans="1:79" s="313" customFormat="1" ht="42" customHeight="1" x14ac:dyDescent="0.25">
      <c r="A85" s="311"/>
      <c r="B85" s="314" t="s">
        <v>414</v>
      </c>
      <c r="C85" s="267"/>
      <c r="D85" s="267"/>
      <c r="E85" s="266">
        <v>578800</v>
      </c>
      <c r="F85" s="308"/>
      <c r="G85" s="308">
        <f>L85+AC85+AT85+BK85</f>
        <v>578774.60000000009</v>
      </c>
      <c r="H85" s="308">
        <f>M85+AD85+AU85+BL85</f>
        <v>578774.60000000009</v>
      </c>
      <c r="I85" s="261">
        <v>16974</v>
      </c>
      <c r="J85" s="261">
        <f>O85+AF85+AW85+BN85</f>
        <v>17308</v>
      </c>
      <c r="K85" s="309"/>
      <c r="L85" s="310">
        <f>P85+T85+X85</f>
        <v>116033.25</v>
      </c>
      <c r="M85" s="310">
        <f>Q85+U85+Y85</f>
        <v>116033.25</v>
      </c>
      <c r="N85" s="261">
        <v>3469</v>
      </c>
      <c r="O85" s="261">
        <f>S85+W85+AA85</f>
        <v>3482</v>
      </c>
      <c r="P85" s="308">
        <v>48722.3</v>
      </c>
      <c r="Q85" s="308">
        <v>48722.3</v>
      </c>
      <c r="R85" s="261">
        <v>1584</v>
      </c>
      <c r="S85" s="261">
        <v>1585</v>
      </c>
      <c r="T85" s="308">
        <v>0</v>
      </c>
      <c r="U85" s="308"/>
      <c r="V85" s="261">
        <v>0</v>
      </c>
      <c r="W85" s="261">
        <v>0</v>
      </c>
      <c r="X85" s="308">
        <v>67310.95</v>
      </c>
      <c r="Y85" s="308">
        <v>67310.95</v>
      </c>
      <c r="Z85" s="261">
        <v>1897</v>
      </c>
      <c r="AA85" s="261">
        <v>1897</v>
      </c>
      <c r="AB85" s="309"/>
      <c r="AC85" s="310">
        <f>AG85+AK85+AO85</f>
        <v>170861.15</v>
      </c>
      <c r="AD85" s="310">
        <f>AH85+AL85+AP85</f>
        <v>170861.15</v>
      </c>
      <c r="AE85" s="261">
        <v>5276</v>
      </c>
      <c r="AF85" s="261">
        <f>AJ85+AN85+AR85</f>
        <v>5292</v>
      </c>
      <c r="AG85" s="308">
        <v>58961.9</v>
      </c>
      <c r="AH85" s="266">
        <v>58961.9</v>
      </c>
      <c r="AI85" s="261">
        <v>1801</v>
      </c>
      <c r="AJ85" s="261">
        <v>1802</v>
      </c>
      <c r="AK85" s="308">
        <v>48138.98</v>
      </c>
      <c r="AL85" s="266">
        <v>48138.98</v>
      </c>
      <c r="AM85" s="261">
        <v>1592</v>
      </c>
      <c r="AN85" s="261">
        <v>1592</v>
      </c>
      <c r="AO85" s="308">
        <v>63760.27</v>
      </c>
      <c r="AP85" s="266">
        <v>63760.27</v>
      </c>
      <c r="AQ85" s="261">
        <v>1897</v>
      </c>
      <c r="AR85" s="261">
        <v>1898</v>
      </c>
      <c r="AS85" s="309"/>
      <c r="AT85" s="310">
        <f>AX85+BB85+BF85</f>
        <v>89149.58</v>
      </c>
      <c r="AU85" s="310">
        <f>AY85+BC85+BG85</f>
        <v>89149.58</v>
      </c>
      <c r="AV85" s="261">
        <v>2601</v>
      </c>
      <c r="AW85" s="261">
        <f>BA85+BE85+BI85</f>
        <v>2606</v>
      </c>
      <c r="AX85" s="308">
        <v>65764.61</v>
      </c>
      <c r="AY85" s="266">
        <v>65764.61</v>
      </c>
      <c r="AZ85" s="261">
        <v>1931</v>
      </c>
      <c r="BA85" s="261">
        <v>1933</v>
      </c>
      <c r="BB85" s="308">
        <v>0</v>
      </c>
      <c r="BC85" s="266"/>
      <c r="BD85" s="261">
        <v>0</v>
      </c>
      <c r="BE85" s="261">
        <v>0</v>
      </c>
      <c r="BF85" s="308">
        <v>23384.97</v>
      </c>
      <c r="BG85" s="266">
        <v>23384.97</v>
      </c>
      <c r="BH85" s="261">
        <v>673</v>
      </c>
      <c r="BI85" s="261">
        <v>673</v>
      </c>
      <c r="BJ85" s="309"/>
      <c r="BK85" s="310">
        <f>BO85+BS85+BW85</f>
        <v>202730.62</v>
      </c>
      <c r="BL85" s="310">
        <f>BP85+BT85+BX85</f>
        <v>202730.62</v>
      </c>
      <c r="BM85" s="261">
        <v>5894</v>
      </c>
      <c r="BN85" s="261">
        <f>BR85+BV85+BZ85</f>
        <v>5928</v>
      </c>
      <c r="BO85" s="266">
        <v>106597.45</v>
      </c>
      <c r="BP85" s="266">
        <v>106597.45</v>
      </c>
      <c r="BQ85" s="262">
        <v>2963</v>
      </c>
      <c r="BR85" s="262">
        <v>2967</v>
      </c>
      <c r="BS85" s="266">
        <v>59601.32</v>
      </c>
      <c r="BT85" s="266">
        <v>59601.32</v>
      </c>
      <c r="BU85" s="262">
        <v>1860</v>
      </c>
      <c r="BV85" s="262">
        <v>1867</v>
      </c>
      <c r="BW85" s="266">
        <v>36531.85</v>
      </c>
      <c r="BX85" s="266">
        <v>36531.85</v>
      </c>
      <c r="BY85" s="262">
        <v>1093</v>
      </c>
      <c r="BZ85" s="262">
        <v>1094</v>
      </c>
      <c r="CA85" s="305"/>
    </row>
    <row r="86" spans="1:79" s="313" customFormat="1" ht="42" customHeight="1" x14ac:dyDescent="0.25">
      <c r="A86" s="311"/>
      <c r="B86" s="314" t="s">
        <v>415</v>
      </c>
      <c r="C86" s="267"/>
      <c r="D86" s="267"/>
      <c r="E86" s="266">
        <v>119700</v>
      </c>
      <c r="F86" s="308"/>
      <c r="G86" s="308">
        <f>L86+AC86+AT86+BK86</f>
        <v>119635.68</v>
      </c>
      <c r="H86" s="308">
        <f>M86+AD86+AU86+BL86</f>
        <v>119635.68</v>
      </c>
      <c r="I86" s="261">
        <v>1195</v>
      </c>
      <c r="J86" s="261">
        <f>O86+AF86+AW86+BN86</f>
        <v>1324</v>
      </c>
      <c r="K86" s="309"/>
      <c r="L86" s="310">
        <f>P86+T86+X86</f>
        <v>19251.150000000001</v>
      </c>
      <c r="M86" s="310">
        <f>Q86+U86+Y86</f>
        <v>19251.150000000001</v>
      </c>
      <c r="N86" s="261">
        <v>206</v>
      </c>
      <c r="O86" s="261">
        <f>S86+W86+AA86</f>
        <v>227</v>
      </c>
      <c r="P86" s="308">
        <v>9710.67</v>
      </c>
      <c r="Q86" s="308">
        <v>9710.67</v>
      </c>
      <c r="R86" s="261">
        <v>108</v>
      </c>
      <c r="S86" s="261">
        <v>122</v>
      </c>
      <c r="T86" s="308">
        <v>133.47</v>
      </c>
      <c r="U86" s="308"/>
      <c r="V86" s="261">
        <v>1</v>
      </c>
      <c r="W86" s="261">
        <v>1</v>
      </c>
      <c r="X86" s="308">
        <v>9407.01</v>
      </c>
      <c r="Y86" s="308">
        <v>9540.48</v>
      </c>
      <c r="Z86" s="261">
        <v>97</v>
      </c>
      <c r="AA86" s="261">
        <v>104</v>
      </c>
      <c r="AB86" s="309"/>
      <c r="AC86" s="310">
        <f>AG86+AK86+AO86</f>
        <v>44273.020000000004</v>
      </c>
      <c r="AD86" s="310">
        <f>AH86+AL86+AP86</f>
        <v>44139.55</v>
      </c>
      <c r="AE86" s="261">
        <v>396</v>
      </c>
      <c r="AF86" s="261">
        <f>AJ86+AN86+AR86</f>
        <v>442</v>
      </c>
      <c r="AG86" s="308">
        <v>14039.05</v>
      </c>
      <c r="AH86" s="266">
        <v>13808.57</v>
      </c>
      <c r="AI86" s="261">
        <v>147</v>
      </c>
      <c r="AJ86" s="261">
        <v>168</v>
      </c>
      <c r="AK86" s="308">
        <v>13333.11</v>
      </c>
      <c r="AL86" s="266">
        <v>13563.59</v>
      </c>
      <c r="AM86" s="261">
        <v>117</v>
      </c>
      <c r="AN86" s="261">
        <v>128</v>
      </c>
      <c r="AO86" s="308">
        <v>16900.86</v>
      </c>
      <c r="AP86" s="266">
        <v>16767.39</v>
      </c>
      <c r="AQ86" s="261">
        <v>137</v>
      </c>
      <c r="AR86" s="261">
        <v>146</v>
      </c>
      <c r="AS86" s="309"/>
      <c r="AT86" s="310">
        <f>AX86+BB86+BF86</f>
        <v>18054.77</v>
      </c>
      <c r="AU86" s="310">
        <f>AY86+BC86+BG86</f>
        <v>18054.77</v>
      </c>
      <c r="AV86" s="261">
        <v>156</v>
      </c>
      <c r="AW86" s="261">
        <f>BA86+BE86+BI86</f>
        <v>174</v>
      </c>
      <c r="AX86" s="308">
        <v>12634.52</v>
      </c>
      <c r="AY86" s="266">
        <v>12767.99</v>
      </c>
      <c r="AZ86" s="261">
        <v>116</v>
      </c>
      <c r="BA86" s="261">
        <v>130</v>
      </c>
      <c r="BB86" s="308">
        <v>251.66</v>
      </c>
      <c r="BC86" s="266">
        <v>251.66</v>
      </c>
      <c r="BD86" s="261">
        <v>2</v>
      </c>
      <c r="BE86" s="261">
        <v>2</v>
      </c>
      <c r="BF86" s="308">
        <v>5168.59</v>
      </c>
      <c r="BG86" s="266">
        <v>5035.12</v>
      </c>
      <c r="BH86" s="261">
        <v>38</v>
      </c>
      <c r="BI86" s="261">
        <v>42</v>
      </c>
      <c r="BJ86" s="309"/>
      <c r="BK86" s="310">
        <f>BO86+BS86+BW86</f>
        <v>38056.74</v>
      </c>
      <c r="BL86" s="310">
        <f>BP86+BT86+BX86</f>
        <v>38190.21</v>
      </c>
      <c r="BM86" s="261">
        <v>448</v>
      </c>
      <c r="BN86" s="261">
        <f>BR86+BV86+BZ86</f>
        <v>481</v>
      </c>
      <c r="BO86" s="266">
        <v>18777.689999999999</v>
      </c>
      <c r="BP86" s="266">
        <v>10405.33</v>
      </c>
      <c r="BQ86" s="262">
        <v>205</v>
      </c>
      <c r="BR86" s="262">
        <v>224</v>
      </c>
      <c r="BS86" s="266">
        <v>13720.04</v>
      </c>
      <c r="BT86" s="266">
        <v>21653.77</v>
      </c>
      <c r="BU86" s="262">
        <v>172</v>
      </c>
      <c r="BV86" s="262">
        <v>178</v>
      </c>
      <c r="BW86" s="266">
        <v>5559.01</v>
      </c>
      <c r="BX86" s="266">
        <v>6131.11</v>
      </c>
      <c r="BY86" s="262">
        <v>76</v>
      </c>
      <c r="BZ86" s="262">
        <v>79</v>
      </c>
      <c r="CA86" s="305"/>
    </row>
    <row r="87" spans="1:79" s="313" customFormat="1" ht="42" customHeight="1" x14ac:dyDescent="0.25">
      <c r="A87" s="300" t="s">
        <v>304</v>
      </c>
      <c r="B87" s="329" t="s">
        <v>416</v>
      </c>
      <c r="C87" s="267">
        <v>10000000</v>
      </c>
      <c r="D87" s="267">
        <v>8074600</v>
      </c>
      <c r="E87" s="267">
        <v>8042700</v>
      </c>
      <c r="F87" s="302">
        <f>K87+AB87+AS87+BJ87</f>
        <v>8074600</v>
      </c>
      <c r="G87" s="267">
        <f t="shared" ref="G87:BR87" si="107">SUM(G88:G93)</f>
        <v>0</v>
      </c>
      <c r="H87" s="267">
        <f t="shared" si="107"/>
        <v>7616866.4300000006</v>
      </c>
      <c r="I87" s="259">
        <f t="shared" si="107"/>
        <v>0</v>
      </c>
      <c r="J87" s="259">
        <f t="shared" si="107"/>
        <v>0</v>
      </c>
      <c r="K87" s="267">
        <v>1147500</v>
      </c>
      <c r="L87" s="267">
        <f t="shared" si="107"/>
        <v>0</v>
      </c>
      <c r="M87" s="267">
        <f t="shared" si="107"/>
        <v>19999.949999999997</v>
      </c>
      <c r="N87" s="259">
        <f>SUM(N88:N93)</f>
        <v>0</v>
      </c>
      <c r="O87" s="259">
        <f>SUM(O88:O93)</f>
        <v>0</v>
      </c>
      <c r="P87" s="267">
        <f>SUM(P88:P93)</f>
        <v>0</v>
      </c>
      <c r="Q87" s="267">
        <f>SUM(Q88:Q93)</f>
        <v>6666.65</v>
      </c>
      <c r="R87" s="259">
        <f t="shared" si="107"/>
        <v>0</v>
      </c>
      <c r="S87" s="259">
        <f t="shared" si="107"/>
        <v>0</v>
      </c>
      <c r="T87" s="267">
        <f t="shared" si="107"/>
        <v>0</v>
      </c>
      <c r="U87" s="267">
        <f t="shared" si="107"/>
        <v>6666.65</v>
      </c>
      <c r="V87" s="259">
        <f t="shared" si="107"/>
        <v>0</v>
      </c>
      <c r="W87" s="259">
        <f t="shared" si="107"/>
        <v>0</v>
      </c>
      <c r="X87" s="267">
        <f t="shared" si="107"/>
        <v>0</v>
      </c>
      <c r="Y87" s="267">
        <f t="shared" si="107"/>
        <v>6666.65</v>
      </c>
      <c r="Z87" s="259">
        <f t="shared" si="107"/>
        <v>0</v>
      </c>
      <c r="AA87" s="259">
        <f t="shared" si="107"/>
        <v>0</v>
      </c>
      <c r="AB87" s="267">
        <v>809300</v>
      </c>
      <c r="AC87" s="267">
        <f t="shared" ref="AC87:AH87" si="108">SUM(AC88:AC93)</f>
        <v>0</v>
      </c>
      <c r="AD87" s="267">
        <f t="shared" si="108"/>
        <v>82768.33</v>
      </c>
      <c r="AE87" s="259">
        <f t="shared" si="108"/>
        <v>0</v>
      </c>
      <c r="AF87" s="259">
        <f t="shared" si="108"/>
        <v>0</v>
      </c>
      <c r="AG87" s="267">
        <f t="shared" si="108"/>
        <v>0</v>
      </c>
      <c r="AH87" s="267">
        <f t="shared" si="108"/>
        <v>7298.23</v>
      </c>
      <c r="AI87" s="259">
        <f t="shared" si="107"/>
        <v>0</v>
      </c>
      <c r="AJ87" s="259">
        <f t="shared" si="107"/>
        <v>0</v>
      </c>
      <c r="AK87" s="267">
        <f t="shared" si="107"/>
        <v>0</v>
      </c>
      <c r="AL87" s="267">
        <f t="shared" si="107"/>
        <v>67803.45</v>
      </c>
      <c r="AM87" s="259">
        <f t="shared" si="107"/>
        <v>0</v>
      </c>
      <c r="AN87" s="259">
        <f t="shared" si="107"/>
        <v>0</v>
      </c>
      <c r="AO87" s="267">
        <f t="shared" si="107"/>
        <v>0</v>
      </c>
      <c r="AP87" s="267">
        <f t="shared" si="107"/>
        <v>7666.65</v>
      </c>
      <c r="AQ87" s="259">
        <f t="shared" si="107"/>
        <v>0</v>
      </c>
      <c r="AR87" s="259">
        <f t="shared" si="107"/>
        <v>0</v>
      </c>
      <c r="AS87" s="267">
        <v>4038500</v>
      </c>
      <c r="AT87" s="267">
        <f t="shared" ref="AT87:AY87" si="109">SUM(AT88:AT93)</f>
        <v>0</v>
      </c>
      <c r="AU87" s="267">
        <f t="shared" si="109"/>
        <v>221830.27</v>
      </c>
      <c r="AV87" s="259">
        <f t="shared" si="109"/>
        <v>0</v>
      </c>
      <c r="AW87" s="259">
        <f t="shared" si="109"/>
        <v>0</v>
      </c>
      <c r="AX87" s="267">
        <f t="shared" si="109"/>
        <v>0</v>
      </c>
      <c r="AY87" s="267">
        <f t="shared" si="109"/>
        <v>112870.35</v>
      </c>
      <c r="AZ87" s="259">
        <f t="shared" si="107"/>
        <v>0</v>
      </c>
      <c r="BA87" s="259">
        <f t="shared" si="107"/>
        <v>0</v>
      </c>
      <c r="BB87" s="267">
        <f t="shared" si="107"/>
        <v>0</v>
      </c>
      <c r="BC87" s="267">
        <f t="shared" si="107"/>
        <v>1033.5</v>
      </c>
      <c r="BD87" s="259">
        <f t="shared" si="107"/>
        <v>0</v>
      </c>
      <c r="BE87" s="259">
        <f t="shared" si="107"/>
        <v>0</v>
      </c>
      <c r="BF87" s="267">
        <f t="shared" si="107"/>
        <v>0</v>
      </c>
      <c r="BG87" s="267">
        <f t="shared" si="107"/>
        <v>107926.42</v>
      </c>
      <c r="BH87" s="259">
        <f t="shared" si="107"/>
        <v>0</v>
      </c>
      <c r="BI87" s="259">
        <f t="shared" si="107"/>
        <v>0</v>
      </c>
      <c r="BJ87" s="267">
        <v>2079300</v>
      </c>
      <c r="BK87" s="267">
        <f t="shared" si="107"/>
        <v>0</v>
      </c>
      <c r="BL87" s="267">
        <f t="shared" si="107"/>
        <v>7292267.8800000008</v>
      </c>
      <c r="BM87" s="259">
        <f t="shared" si="107"/>
        <v>0</v>
      </c>
      <c r="BN87" s="259">
        <f t="shared" si="107"/>
        <v>0</v>
      </c>
      <c r="BO87" s="267">
        <f t="shared" si="107"/>
        <v>0</v>
      </c>
      <c r="BP87" s="267">
        <f t="shared" si="107"/>
        <v>84013.35</v>
      </c>
      <c r="BQ87" s="259">
        <f t="shared" si="107"/>
        <v>0</v>
      </c>
      <c r="BR87" s="259">
        <f t="shared" si="107"/>
        <v>0</v>
      </c>
      <c r="BS87" s="267">
        <f t="shared" ref="BS87:BZ87" si="110">SUM(BS88:BS93)</f>
        <v>0</v>
      </c>
      <c r="BT87" s="267">
        <f>SUM(BT88:BT93)</f>
        <v>181246.58000000002</v>
      </c>
      <c r="BU87" s="259">
        <f t="shared" si="110"/>
        <v>0</v>
      </c>
      <c r="BV87" s="259">
        <f t="shared" si="110"/>
        <v>0</v>
      </c>
      <c r="BW87" s="267">
        <f t="shared" si="110"/>
        <v>0</v>
      </c>
      <c r="BX87" s="267">
        <f>SUM(BX88:BX93)</f>
        <v>7027007.9500000011</v>
      </c>
      <c r="BY87" s="259">
        <f t="shared" si="110"/>
        <v>0</v>
      </c>
      <c r="BZ87" s="259">
        <f t="shared" si="110"/>
        <v>0</v>
      </c>
      <c r="CA87" s="305"/>
    </row>
    <row r="88" spans="1:79" s="313" customFormat="1" ht="42" customHeight="1" x14ac:dyDescent="0.25">
      <c r="A88" s="311"/>
      <c r="B88" s="330" t="s">
        <v>417</v>
      </c>
      <c r="C88" s="267"/>
      <c r="D88" s="267"/>
      <c r="E88" s="266"/>
      <c r="F88" s="266"/>
      <c r="G88" s="266">
        <f t="shared" ref="G88:H93" si="111">L88+AC88+AT88+BK88</f>
        <v>0</v>
      </c>
      <c r="H88" s="266">
        <f t="shared" si="111"/>
        <v>3385562.85</v>
      </c>
      <c r="I88" s="262"/>
      <c r="J88" s="262"/>
      <c r="K88" s="309"/>
      <c r="L88" s="309">
        <f t="shared" ref="L88:M93" si="112">P88+T88+X88</f>
        <v>0</v>
      </c>
      <c r="M88" s="309">
        <f t="shared" si="112"/>
        <v>0</v>
      </c>
      <c r="N88" s="262"/>
      <c r="O88" s="262"/>
      <c r="P88" s="266"/>
      <c r="Q88" s="266"/>
      <c r="R88" s="262"/>
      <c r="S88" s="262"/>
      <c r="T88" s="266"/>
      <c r="U88" s="266"/>
      <c r="V88" s="262"/>
      <c r="W88" s="262"/>
      <c r="X88" s="266"/>
      <c r="Y88" s="266"/>
      <c r="Z88" s="262"/>
      <c r="AA88" s="262"/>
      <c r="AB88" s="309"/>
      <c r="AC88" s="309">
        <f t="shared" ref="AC88:AD93" si="113">AG88+AK88+AO88</f>
        <v>0</v>
      </c>
      <c r="AD88" s="309">
        <f t="shared" si="113"/>
        <v>0</v>
      </c>
      <c r="AE88" s="262"/>
      <c r="AF88" s="262"/>
      <c r="AG88" s="266"/>
      <c r="AH88" s="266"/>
      <c r="AI88" s="262"/>
      <c r="AJ88" s="262"/>
      <c r="AK88" s="266"/>
      <c r="AL88" s="266"/>
      <c r="AM88" s="262"/>
      <c r="AN88" s="262"/>
      <c r="AO88" s="266"/>
      <c r="AP88" s="266"/>
      <c r="AQ88" s="262"/>
      <c r="AR88" s="262"/>
      <c r="AS88" s="309"/>
      <c r="AT88" s="309">
        <f t="shared" ref="AT88:AU91" si="114">AX88+BB88+BF88</f>
        <v>0</v>
      </c>
      <c r="AU88" s="309">
        <f t="shared" si="114"/>
        <v>53689.72</v>
      </c>
      <c r="AV88" s="262"/>
      <c r="AW88" s="262">
        <f>BA88+BE88+BI88</f>
        <v>0</v>
      </c>
      <c r="AX88" s="266"/>
      <c r="AY88" s="266"/>
      <c r="AZ88" s="266"/>
      <c r="BA88" s="262"/>
      <c r="BB88" s="266"/>
      <c r="BC88" s="266"/>
      <c r="BD88" s="262"/>
      <c r="BE88" s="262"/>
      <c r="BF88" s="266"/>
      <c r="BG88" s="266">
        <f>2097.2+12000.8+36538.32+1653.4+1400</f>
        <v>53689.72</v>
      </c>
      <c r="BH88" s="262"/>
      <c r="BI88" s="262"/>
      <c r="BJ88" s="309"/>
      <c r="BK88" s="309">
        <f t="shared" ref="BK88:BL93" si="115">BO88+BS88+BW88</f>
        <v>0</v>
      </c>
      <c r="BL88" s="309">
        <f t="shared" si="115"/>
        <v>3331873.13</v>
      </c>
      <c r="BM88" s="262"/>
      <c r="BN88" s="262"/>
      <c r="BO88" s="266"/>
      <c r="BP88" s="266">
        <f>410.2+20616.4</f>
        <v>21026.600000000002</v>
      </c>
      <c r="BQ88" s="262"/>
      <c r="BR88" s="262"/>
      <c r="BS88" s="266"/>
      <c r="BT88" s="266">
        <f>10088.12+19184.76</f>
        <v>29272.879999999997</v>
      </c>
      <c r="BU88" s="262"/>
      <c r="BV88" s="262"/>
      <c r="BW88" s="266"/>
      <c r="BX88" s="266">
        <f>1764+6640.92+23396.52+648900+18900+43122.24+4974.48+82983.26+866395.06+380293.2+29739.15-19184.76+19184.76+98576.76+90791.12+53088+73645.46+331466.4+100596.6+220267.8+129424.68+76608</f>
        <v>3281573.65</v>
      </c>
      <c r="BY88" s="262"/>
      <c r="BZ88" s="262"/>
      <c r="CA88" s="305"/>
    </row>
    <row r="89" spans="1:79" s="313" customFormat="1" ht="42" customHeight="1" x14ac:dyDescent="0.25">
      <c r="A89" s="311"/>
      <c r="B89" s="330" t="s">
        <v>418</v>
      </c>
      <c r="C89" s="267"/>
      <c r="D89" s="267"/>
      <c r="E89" s="266"/>
      <c r="F89" s="266"/>
      <c r="G89" s="266">
        <f t="shared" si="111"/>
        <v>0</v>
      </c>
      <c r="H89" s="266">
        <f t="shared" si="111"/>
        <v>618559</v>
      </c>
      <c r="I89" s="262"/>
      <c r="J89" s="262"/>
      <c r="K89" s="309"/>
      <c r="L89" s="309">
        <f t="shared" si="112"/>
        <v>0</v>
      </c>
      <c r="M89" s="309">
        <f t="shared" si="112"/>
        <v>0</v>
      </c>
      <c r="N89" s="262"/>
      <c r="O89" s="262"/>
      <c r="P89" s="266"/>
      <c r="Q89" s="266"/>
      <c r="R89" s="262"/>
      <c r="S89" s="262"/>
      <c r="T89" s="266"/>
      <c r="U89" s="266"/>
      <c r="V89" s="262"/>
      <c r="W89" s="262"/>
      <c r="X89" s="266"/>
      <c r="Y89" s="266"/>
      <c r="Z89" s="262"/>
      <c r="AA89" s="262"/>
      <c r="AB89" s="309"/>
      <c r="AC89" s="309">
        <f t="shared" si="113"/>
        <v>0</v>
      </c>
      <c r="AD89" s="309">
        <f t="shared" si="113"/>
        <v>60136.800000000003</v>
      </c>
      <c r="AE89" s="262"/>
      <c r="AF89" s="262"/>
      <c r="AG89" s="266"/>
      <c r="AH89" s="266"/>
      <c r="AI89" s="262"/>
      <c r="AJ89" s="262"/>
      <c r="AK89" s="266"/>
      <c r="AL89" s="266">
        <f>1800+4816.8+31041.6+22478.4</f>
        <v>60136.800000000003</v>
      </c>
      <c r="AM89" s="262"/>
      <c r="AN89" s="262"/>
      <c r="AO89" s="266"/>
      <c r="AP89" s="266"/>
      <c r="AQ89" s="262"/>
      <c r="AR89" s="262"/>
      <c r="AS89" s="309"/>
      <c r="AT89" s="309">
        <f t="shared" si="114"/>
        <v>0</v>
      </c>
      <c r="AU89" s="309">
        <f t="shared" si="114"/>
        <v>104905.5</v>
      </c>
      <c r="AV89" s="262"/>
      <c r="AW89" s="262">
        <f>BA89+BE89+BI89</f>
        <v>0</v>
      </c>
      <c r="AX89" s="266"/>
      <c r="AY89" s="266">
        <f>56202.3</f>
        <v>56202.3</v>
      </c>
      <c r="AZ89" s="266"/>
      <c r="BA89" s="262"/>
      <c r="BB89" s="266"/>
      <c r="BC89" s="266"/>
      <c r="BD89" s="262"/>
      <c r="BE89" s="262"/>
      <c r="BF89" s="266"/>
      <c r="BG89" s="266">
        <v>48703.199999999997</v>
      </c>
      <c r="BH89" s="262"/>
      <c r="BI89" s="262"/>
      <c r="BJ89" s="309"/>
      <c r="BK89" s="309">
        <f t="shared" si="115"/>
        <v>0</v>
      </c>
      <c r="BL89" s="309">
        <f t="shared" si="115"/>
        <v>453516.7</v>
      </c>
      <c r="BM89" s="262"/>
      <c r="BN89" s="262"/>
      <c r="BO89" s="266"/>
      <c r="BP89" s="266">
        <f>1849+19260+34668</f>
        <v>55777</v>
      </c>
      <c r="BQ89" s="262"/>
      <c r="BR89" s="262"/>
      <c r="BS89" s="266"/>
      <c r="BT89" s="266"/>
      <c r="BU89" s="262"/>
      <c r="BV89" s="262"/>
      <c r="BW89" s="266"/>
      <c r="BX89" s="266">
        <f>71602.2+309990+16147.5</f>
        <v>397739.7</v>
      </c>
      <c r="BY89" s="262"/>
      <c r="BZ89" s="262"/>
      <c r="CA89" s="305"/>
    </row>
    <row r="90" spans="1:79" s="313" customFormat="1" ht="42" customHeight="1" x14ac:dyDescent="0.25">
      <c r="A90" s="311"/>
      <c r="B90" s="330" t="s">
        <v>419</v>
      </c>
      <c r="C90" s="267"/>
      <c r="D90" s="267"/>
      <c r="E90" s="266"/>
      <c r="F90" s="266"/>
      <c r="G90" s="266">
        <f t="shared" si="111"/>
        <v>0</v>
      </c>
      <c r="H90" s="266">
        <f t="shared" si="111"/>
        <v>573770.37</v>
      </c>
      <c r="I90" s="262"/>
      <c r="J90" s="262"/>
      <c r="K90" s="309"/>
      <c r="L90" s="309">
        <f t="shared" si="112"/>
        <v>0</v>
      </c>
      <c r="M90" s="309">
        <f t="shared" si="112"/>
        <v>0</v>
      </c>
      <c r="N90" s="262"/>
      <c r="O90" s="262"/>
      <c r="P90" s="266"/>
      <c r="Q90" s="266"/>
      <c r="R90" s="262"/>
      <c r="S90" s="262"/>
      <c r="T90" s="266"/>
      <c r="U90" s="266"/>
      <c r="V90" s="262"/>
      <c r="W90" s="262"/>
      <c r="X90" s="266"/>
      <c r="Y90" s="266"/>
      <c r="Z90" s="262"/>
      <c r="AA90" s="262"/>
      <c r="AB90" s="309"/>
      <c r="AC90" s="309">
        <f t="shared" si="113"/>
        <v>0</v>
      </c>
      <c r="AD90" s="309">
        <f t="shared" si="113"/>
        <v>0</v>
      </c>
      <c r="AE90" s="262"/>
      <c r="AF90" s="262"/>
      <c r="AG90" s="266"/>
      <c r="AH90" s="266"/>
      <c r="AI90" s="262"/>
      <c r="AJ90" s="262"/>
      <c r="AK90" s="266"/>
      <c r="AL90" s="266"/>
      <c r="AM90" s="262"/>
      <c r="AN90" s="262"/>
      <c r="AO90" s="266"/>
      <c r="AP90" s="266"/>
      <c r="AQ90" s="262"/>
      <c r="AR90" s="262"/>
      <c r="AS90" s="309"/>
      <c r="AT90" s="309">
        <f t="shared" si="114"/>
        <v>0</v>
      </c>
      <c r="AU90" s="309">
        <f t="shared" si="114"/>
        <v>49001.4</v>
      </c>
      <c r="AV90" s="262"/>
      <c r="AW90" s="262">
        <f>BA90+BE90+BI90</f>
        <v>0</v>
      </c>
      <c r="AX90" s="266"/>
      <c r="AY90" s="266">
        <f>49001.4</f>
        <v>49001.4</v>
      </c>
      <c r="AZ90" s="266"/>
      <c r="BA90" s="262"/>
      <c r="BB90" s="266"/>
      <c r="BC90" s="266"/>
      <c r="BD90" s="262"/>
      <c r="BE90" s="262"/>
      <c r="BF90" s="266"/>
      <c r="BG90" s="266"/>
      <c r="BH90" s="262"/>
      <c r="BI90" s="262"/>
      <c r="BJ90" s="309"/>
      <c r="BK90" s="309">
        <f t="shared" si="115"/>
        <v>0</v>
      </c>
      <c r="BL90" s="309">
        <f t="shared" si="115"/>
        <v>524768.97</v>
      </c>
      <c r="BM90" s="262"/>
      <c r="BN90" s="262"/>
      <c r="BO90" s="266"/>
      <c r="BP90" s="266"/>
      <c r="BQ90" s="262"/>
      <c r="BR90" s="262"/>
      <c r="BS90" s="266"/>
      <c r="BT90" s="266">
        <v>126750</v>
      </c>
      <c r="BU90" s="262"/>
      <c r="BV90" s="262"/>
      <c r="BW90" s="266"/>
      <c r="BX90" s="266">
        <f>65808.75+22890+153357.36+16785+139177.86-7516.8+7516.8</f>
        <v>398018.97</v>
      </c>
      <c r="BY90" s="262"/>
      <c r="BZ90" s="262"/>
      <c r="CA90" s="305"/>
    </row>
    <row r="91" spans="1:79" s="313" customFormat="1" ht="42" customHeight="1" x14ac:dyDescent="0.25">
      <c r="A91" s="311"/>
      <c r="B91" s="330" t="s">
        <v>420</v>
      </c>
      <c r="C91" s="267"/>
      <c r="D91" s="267"/>
      <c r="E91" s="266"/>
      <c r="F91" s="266"/>
      <c r="G91" s="266">
        <f t="shared" si="111"/>
        <v>0</v>
      </c>
      <c r="H91" s="266">
        <f t="shared" si="111"/>
        <v>440564.69000000006</v>
      </c>
      <c r="I91" s="262"/>
      <c r="J91" s="262"/>
      <c r="K91" s="309"/>
      <c r="L91" s="309">
        <f t="shared" si="112"/>
        <v>0</v>
      </c>
      <c r="M91" s="309">
        <f t="shared" si="112"/>
        <v>0</v>
      </c>
      <c r="N91" s="262"/>
      <c r="O91" s="262"/>
      <c r="P91" s="266"/>
      <c r="Q91" s="266"/>
      <c r="R91" s="262"/>
      <c r="S91" s="262"/>
      <c r="T91" s="266"/>
      <c r="U91" s="266"/>
      <c r="V91" s="262"/>
      <c r="W91" s="262"/>
      <c r="X91" s="266"/>
      <c r="Y91" s="266"/>
      <c r="Z91" s="262"/>
      <c r="AA91" s="262"/>
      <c r="AB91" s="309"/>
      <c r="AC91" s="309">
        <f t="shared" si="113"/>
        <v>0</v>
      </c>
      <c r="AD91" s="309">
        <f t="shared" si="113"/>
        <v>0</v>
      </c>
      <c r="AE91" s="262"/>
      <c r="AF91" s="262"/>
      <c r="AG91" s="266"/>
      <c r="AH91" s="266"/>
      <c r="AI91" s="262"/>
      <c r="AJ91" s="262"/>
      <c r="AK91" s="266"/>
      <c r="AL91" s="266"/>
      <c r="AM91" s="262"/>
      <c r="AN91" s="262"/>
      <c r="AO91" s="266"/>
      <c r="AP91" s="266"/>
      <c r="AQ91" s="262"/>
      <c r="AR91" s="262"/>
      <c r="AS91" s="309"/>
      <c r="AT91" s="309">
        <f t="shared" si="114"/>
        <v>0</v>
      </c>
      <c r="AU91" s="309">
        <f t="shared" si="114"/>
        <v>4500</v>
      </c>
      <c r="AV91" s="262"/>
      <c r="AW91" s="262"/>
      <c r="AX91" s="266"/>
      <c r="AY91" s="266"/>
      <c r="AZ91" s="266"/>
      <c r="BA91" s="262"/>
      <c r="BB91" s="266"/>
      <c r="BC91" s="266"/>
      <c r="BD91" s="262"/>
      <c r="BE91" s="262"/>
      <c r="BF91" s="266"/>
      <c r="BG91" s="266">
        <f>4500</f>
        <v>4500</v>
      </c>
      <c r="BH91" s="262"/>
      <c r="BI91" s="262"/>
      <c r="BJ91" s="309"/>
      <c r="BK91" s="309">
        <f t="shared" si="115"/>
        <v>0</v>
      </c>
      <c r="BL91" s="309">
        <f t="shared" si="115"/>
        <v>436064.69000000006</v>
      </c>
      <c r="BM91" s="262"/>
      <c r="BN91" s="262"/>
      <c r="BO91" s="266"/>
      <c r="BP91" s="266">
        <f>6176.25</f>
        <v>6176.25</v>
      </c>
      <c r="BQ91" s="262"/>
      <c r="BR91" s="262"/>
      <c r="BS91" s="266"/>
      <c r="BT91" s="266">
        <f>12397.5+4500</f>
        <v>16897.5</v>
      </c>
      <c r="BU91" s="262"/>
      <c r="BV91" s="262"/>
      <c r="BW91" s="266"/>
      <c r="BX91" s="266">
        <f>6541.92+210557.13+69822+18315+107754.89</f>
        <v>412990.94000000006</v>
      </c>
      <c r="BY91" s="262"/>
      <c r="BZ91" s="262"/>
      <c r="CA91" s="305"/>
    </row>
    <row r="92" spans="1:79" s="313" customFormat="1" ht="42" customHeight="1" x14ac:dyDescent="0.25">
      <c r="A92" s="311"/>
      <c r="B92" s="330"/>
      <c r="C92" s="267"/>
      <c r="D92" s="267"/>
      <c r="E92" s="266"/>
      <c r="F92" s="266"/>
      <c r="G92" s="266"/>
      <c r="H92" s="266">
        <f t="shared" si="111"/>
        <v>2542043.89</v>
      </c>
      <c r="I92" s="262"/>
      <c r="J92" s="262"/>
      <c r="K92" s="309"/>
      <c r="L92" s="309"/>
      <c r="M92" s="309"/>
      <c r="N92" s="262"/>
      <c r="O92" s="262"/>
      <c r="P92" s="266"/>
      <c r="Q92" s="266"/>
      <c r="R92" s="262"/>
      <c r="S92" s="262"/>
      <c r="T92" s="266"/>
      <c r="U92" s="266"/>
      <c r="V92" s="262"/>
      <c r="W92" s="262"/>
      <c r="X92" s="266"/>
      <c r="Y92" s="266"/>
      <c r="Z92" s="262"/>
      <c r="AA92" s="262"/>
      <c r="AB92" s="309"/>
      <c r="AC92" s="309"/>
      <c r="AD92" s="309"/>
      <c r="AE92" s="262"/>
      <c r="AF92" s="262"/>
      <c r="AG92" s="266"/>
      <c r="AH92" s="266"/>
      <c r="AI92" s="262"/>
      <c r="AJ92" s="262"/>
      <c r="AK92" s="266"/>
      <c r="AL92" s="266"/>
      <c r="AM92" s="262"/>
      <c r="AN92" s="262"/>
      <c r="AO92" s="266"/>
      <c r="AP92" s="266"/>
      <c r="AQ92" s="262"/>
      <c r="AR92" s="262"/>
      <c r="AS92" s="309"/>
      <c r="AT92" s="309"/>
      <c r="AU92" s="309"/>
      <c r="AV92" s="262"/>
      <c r="AW92" s="262"/>
      <c r="AX92" s="266"/>
      <c r="AY92" s="266"/>
      <c r="AZ92" s="318"/>
      <c r="BA92" s="262"/>
      <c r="BB92" s="266"/>
      <c r="BC92" s="266"/>
      <c r="BD92" s="262"/>
      <c r="BE92" s="262"/>
      <c r="BF92" s="266"/>
      <c r="BG92" s="266"/>
      <c r="BH92" s="262"/>
      <c r="BI92" s="262"/>
      <c r="BJ92" s="309"/>
      <c r="BK92" s="309"/>
      <c r="BL92" s="309">
        <f t="shared" si="115"/>
        <v>2542043.89</v>
      </c>
      <c r="BM92" s="262"/>
      <c r="BN92" s="262"/>
      <c r="BO92" s="266"/>
      <c r="BP92" s="266"/>
      <c r="BQ92" s="262"/>
      <c r="BR92" s="262"/>
      <c r="BS92" s="266"/>
      <c r="BT92" s="266">
        <v>7292.7</v>
      </c>
      <c r="BU92" s="262"/>
      <c r="BV92" s="262"/>
      <c r="BW92" s="266"/>
      <c r="BX92" s="266">
        <f>78881.16+39000+208800+96048+65634.3+134866.33+1213796.99+503268.57+63492+130963.84</f>
        <v>2534751.19</v>
      </c>
      <c r="BY92" s="262"/>
      <c r="BZ92" s="262"/>
      <c r="CA92" s="305"/>
    </row>
    <row r="93" spans="1:79" s="313" customFormat="1" ht="42" customHeight="1" x14ac:dyDescent="0.25">
      <c r="A93" s="311"/>
      <c r="B93" s="330" t="s">
        <v>490</v>
      </c>
      <c r="C93" s="267"/>
      <c r="D93" s="267"/>
      <c r="E93" s="266"/>
      <c r="F93" s="266"/>
      <c r="G93" s="266">
        <f t="shared" si="111"/>
        <v>0</v>
      </c>
      <c r="H93" s="266">
        <f t="shared" si="111"/>
        <v>56365.63</v>
      </c>
      <c r="I93" s="262"/>
      <c r="J93" s="262"/>
      <c r="K93" s="309"/>
      <c r="L93" s="309">
        <f t="shared" si="112"/>
        <v>0</v>
      </c>
      <c r="M93" s="309">
        <f t="shared" si="112"/>
        <v>19999.949999999997</v>
      </c>
      <c r="N93" s="262"/>
      <c r="O93" s="262"/>
      <c r="P93" s="266"/>
      <c r="Q93" s="266">
        <v>6666.65</v>
      </c>
      <c r="R93" s="262"/>
      <c r="S93" s="262"/>
      <c r="T93" s="266"/>
      <c r="U93" s="266">
        <v>6666.65</v>
      </c>
      <c r="V93" s="262"/>
      <c r="W93" s="262"/>
      <c r="X93" s="266"/>
      <c r="Y93" s="266">
        <f>6666.65</f>
        <v>6666.65</v>
      </c>
      <c r="Z93" s="262"/>
      <c r="AA93" s="262"/>
      <c r="AB93" s="309"/>
      <c r="AC93" s="309">
        <f t="shared" si="113"/>
        <v>0</v>
      </c>
      <c r="AD93" s="309">
        <f t="shared" si="113"/>
        <v>22631.53</v>
      </c>
      <c r="AE93" s="262"/>
      <c r="AF93" s="262"/>
      <c r="AG93" s="266"/>
      <c r="AH93" s="266">
        <f>6666.65+631.58</f>
        <v>7298.23</v>
      </c>
      <c r="AI93" s="262"/>
      <c r="AJ93" s="262"/>
      <c r="AK93" s="266"/>
      <c r="AL93" s="266">
        <f>6666.65+1000</f>
        <v>7666.65</v>
      </c>
      <c r="AM93" s="262"/>
      <c r="AN93" s="262"/>
      <c r="AO93" s="266"/>
      <c r="AP93" s="266">
        <f>6666.65+1000</f>
        <v>7666.65</v>
      </c>
      <c r="AQ93" s="262"/>
      <c r="AR93" s="262"/>
      <c r="AS93" s="309"/>
      <c r="AT93" s="309">
        <f>AX93+BB93+BF93</f>
        <v>0</v>
      </c>
      <c r="AU93" s="309">
        <f>AY93+BC93+BG93</f>
        <v>9733.65</v>
      </c>
      <c r="AV93" s="262"/>
      <c r="AW93" s="262">
        <f>BA93+BE93+BI93</f>
        <v>0</v>
      </c>
      <c r="AX93" s="266"/>
      <c r="AY93" s="266">
        <f>6666.65+1000</f>
        <v>7666.65</v>
      </c>
      <c r="AZ93" s="262"/>
      <c r="BA93" s="262"/>
      <c r="BB93" s="266"/>
      <c r="BC93" s="266">
        <f>33.5+1000</f>
        <v>1033.5</v>
      </c>
      <c r="BD93" s="262"/>
      <c r="BE93" s="262"/>
      <c r="BF93" s="266"/>
      <c r="BG93" s="266">
        <f>33.5+1000</f>
        <v>1033.5</v>
      </c>
      <c r="BH93" s="262"/>
      <c r="BI93" s="262"/>
      <c r="BJ93" s="309"/>
      <c r="BK93" s="309">
        <f t="shared" si="115"/>
        <v>0</v>
      </c>
      <c r="BL93" s="309">
        <f t="shared" si="115"/>
        <v>4000.5</v>
      </c>
      <c r="BM93" s="262"/>
      <c r="BN93" s="262"/>
      <c r="BO93" s="266"/>
      <c r="BP93" s="266">
        <f>33.5+1000</f>
        <v>1033.5</v>
      </c>
      <c r="BQ93" s="262"/>
      <c r="BR93" s="262"/>
      <c r="BS93" s="266"/>
      <c r="BT93" s="266">
        <f>33.5+1000</f>
        <v>1033.5</v>
      </c>
      <c r="BU93" s="262"/>
      <c r="BV93" s="262"/>
      <c r="BW93" s="266"/>
      <c r="BX93" s="266">
        <f>33.5+1900</f>
        <v>1933.5</v>
      </c>
      <c r="BY93" s="262"/>
      <c r="BZ93" s="262"/>
      <c r="CA93" s="305"/>
    </row>
    <row r="94" spans="1:79" s="324" customFormat="1" ht="42" customHeight="1" x14ac:dyDescent="0.25">
      <c r="A94" s="331"/>
      <c r="B94" s="332" t="s">
        <v>265</v>
      </c>
      <c r="C94" s="267">
        <f t="shared" ref="C94:H94" si="116">C3+C5+C9+C12+C20+C29+C33+C42+C48+C50+C57+C62+C74+C76+C81+C84+C87</f>
        <v>202741000</v>
      </c>
      <c r="D94" s="267">
        <f t="shared" si="116"/>
        <v>178060110</v>
      </c>
      <c r="E94" s="267">
        <f t="shared" si="116"/>
        <v>177998200</v>
      </c>
      <c r="F94" s="267">
        <f t="shared" si="116"/>
        <v>178060110</v>
      </c>
      <c r="G94" s="267">
        <f t="shared" si="116"/>
        <v>131873731.7</v>
      </c>
      <c r="H94" s="267">
        <f t="shared" si="116"/>
        <v>177585316.24000001</v>
      </c>
      <c r="I94" s="264">
        <f>I3+I5+I9+I12+I20+I29+I33+I42+I48+I50+I57+I62+I74+I76+I81+I84</f>
        <v>253022</v>
      </c>
      <c r="J94" s="264">
        <f>J3+J5+J9+J12+J20+J29+J33+J42+J48+J50+J57+J62+J74+J76+J81+J84</f>
        <v>1723619</v>
      </c>
      <c r="K94" s="267">
        <f>K3+K5+K9+K12+K20+K29+K33+K42+K48+K50+K57+K62+K74+K76+K81+K84+K87</f>
        <v>47172100</v>
      </c>
      <c r="L94" s="267">
        <f>L3+L5+L9+L12+L20+L29+L33+L42+L48+L50+L57+L62+L74+L76+L81+L84+L87</f>
        <v>32948194.960000001</v>
      </c>
      <c r="M94" s="267">
        <f>M3+M5+M9+M12+M20+M29+M33+M42+M48+M50+M57+M62+M74+M76+M81+M84+M87</f>
        <v>40009700.600000001</v>
      </c>
      <c r="N94" s="264">
        <f>N3+N5+N9+N12+N20+N29+N33+N42+N48+N50+N57+N62+N74+N76+N81+N84</f>
        <v>108439</v>
      </c>
      <c r="O94" s="264">
        <f>O3+O5+O9+O12+O20+O29+O33+O42+O48+O50+O57+O62+O74+O76+O81+O84</f>
        <v>416540</v>
      </c>
      <c r="P94" s="267">
        <f>P3+P5+P9+P12+P20+P29+P33+P42+P48+P50+P57+P62+P74+P76+P81+P84+P87</f>
        <v>10797203.77</v>
      </c>
      <c r="Q94" s="267">
        <f>Q3+Q5+Q9+Q12+Q20+Q29+Q33+Q42+Q48+Q50+Q57+Q62+Q74+Q76+Q81+Q84+Q87</f>
        <v>8425000.4100000001</v>
      </c>
      <c r="R94" s="264">
        <f>R3+R5+R9+R12+R20+R29+R33+R42+R48+R50+R57+R62+R74+R76+R81+R84</f>
        <v>56846</v>
      </c>
      <c r="S94" s="264">
        <f>S3+S5+S9+S12+S20+S29+S33+S42+S48+S50+S57+S62+S74+S76+S81+S84</f>
        <v>141880</v>
      </c>
      <c r="T94" s="267">
        <f>T3+T5+T9+T12+T20+T29+T33+T42+T48+T50+T57+T62+T74+T76+T81+T84+T87</f>
        <v>10826517.850000003</v>
      </c>
      <c r="U94" s="267">
        <f>U3+U5+U9+U12+U20+U29+U33+U42+U48+U50+U57+U62+U74+U76+U81+U84+U87</f>
        <v>15801122.689999999</v>
      </c>
      <c r="V94" s="264">
        <f>V3+V5+V9+V12+V20+V29+V33+V42+V48+V50+V57+V62+V74+V76+V81+V84</f>
        <v>50775</v>
      </c>
      <c r="W94" s="264">
        <f>W3+W5+W9+W12+W20+W29+W33+W42+W48+W50+W57+W62+W74+W76+W81+W84</f>
        <v>137311</v>
      </c>
      <c r="X94" s="267">
        <f>X3+X5+X9+X12+X20+X29+X33+X42+X48+X50+X57+X62+X74+X76+X81+X84+X87</f>
        <v>11324473.34</v>
      </c>
      <c r="Y94" s="267">
        <f>Y3+Y5+Y9+Y12+Y20+Y29+Y33+Y42+Y48+Y50+Y57+Y62+Y74+Y76+Y81+Y84+Y87</f>
        <v>15783577.5</v>
      </c>
      <c r="Z94" s="264">
        <f>Z3+Z5+Z9+Z12+Z20+Z29+Z33+Z42+Z48+Z50+Z57+Z62+Z74+Z76+Z81+Z84</f>
        <v>55579</v>
      </c>
      <c r="AA94" s="264">
        <f>AA3+AA5+AA9+AA12+AA20+AA29+AA33+AA42+AA48+AA50+AA57+AA62+AA74+AA76+AA81+AA84</f>
        <v>137349</v>
      </c>
      <c r="AB94" s="267">
        <f>AB3+AB5+AB9+AB12+AB20+AB29+AB33+AB42+AB48+AB50+AB57+AB62+AB74+AB76+AB81+AB84+AB87</f>
        <v>46500200</v>
      </c>
      <c r="AC94" s="267">
        <f>AC3+AC5+AC9+AC12+AC20+AC29+AC33+AC42+AC48+AC50+AC57+AC62+AC74+AC76+AC81+AC84+AC87</f>
        <v>32412290.950000003</v>
      </c>
      <c r="AD94" s="267">
        <f>AD3+AD5+AD9+AD12+AD20+AD29+AD33+AD42+AD48+AD50+AD57+AD62+AD74+AD76+AD81+AD84+AD87</f>
        <v>43291467.679999992</v>
      </c>
      <c r="AE94" s="264">
        <f>AE3+AE5+AE9+AE12+AE20+AE29+AE33+AE42+AE48+AE50+AE57+AE62+AE74+AE76+AE81+AE84</f>
        <v>107547</v>
      </c>
      <c r="AF94" s="264">
        <f>AF3+AF5+AF9+AF12+AF20+AF29+AF33+AF42+AF48+AF50+AF57+AF62+AF74+AF76+AF81+AF84</f>
        <v>429863</v>
      </c>
      <c r="AG94" s="267">
        <f>AG3+AG5+AG9+AG12+AG20+AG29+AG33+AG42+AG48+AG50+AG57+AG62+AG74+AG76+AG81+AG84+AG87</f>
        <v>10423150.309999999</v>
      </c>
      <c r="AH94" s="267">
        <f>AH3+AH5+AH9+AH12+AH20+AH29+AH33+AH42+AH48+AH50+AH57+AH62+AH74+AH76+AH81+AH84+AH87</f>
        <v>14449143.170000002</v>
      </c>
      <c r="AI94" s="264">
        <f>AI3+AI5+AI9+AI12+AI20+AI29+AI33+AI42+AI48+AI50+AI57+AI62+AI74+AI76+AI81+AI84</f>
        <v>58009</v>
      </c>
      <c r="AJ94" s="264">
        <f>AJ3+AJ5+AJ9+AJ12+AJ20+AJ29+AJ33+AJ42+AJ48+AJ50+AJ57+AJ62+AJ74+AJ76+AJ81+AJ84</f>
        <v>146489</v>
      </c>
      <c r="AK94" s="267">
        <f>AK3+AK5+AK9+AK12+AK20+AK29+AK33+AK42+AK48+AK50+AK57+AK62+AK74+AK76+AK81+AK84</f>
        <v>10810411.719999999</v>
      </c>
      <c r="AL94" s="267">
        <f>AL3+AL5+AL9+AL12+AL20+AL29+AL33+AL42+AL48+AL50+AL57+AL62+AL74+AL76+AL81+AL84+AL87</f>
        <v>15553456.309999997</v>
      </c>
      <c r="AM94" s="264">
        <f>AM3+AM5+AM9+AM12+AM20+AM29+AM33+AM42+AM48+AM50+AM57+AM62+AM74+AM76+AM81+AM84</f>
        <v>55546</v>
      </c>
      <c r="AN94" s="264">
        <f>AN3+AN5+AN9+AN12+AN20+AN29+AN33+AN42+AN48+AN50+AN57+AN62+AN74+AN76+AN81+AN84</f>
        <v>139992</v>
      </c>
      <c r="AO94" s="267">
        <f>AO3+AO5+AO9+AO12+AO20+AO29+AO33+AO42+AO48+AO50+AO57+AO62+AO74+AO76+AO81+AO84</f>
        <v>11178728.92</v>
      </c>
      <c r="AP94" s="267">
        <f>AP3+AP5+AP9+AP12+AP20+AP29+AP33+AP42+AP48+AP50+AP57+AP62+AP74+AP76+AP81+AP84+AP87</f>
        <v>13288868.200000001</v>
      </c>
      <c r="AQ94" s="264">
        <f>AQ3+AQ5+AQ9+AQ12+AQ20+AQ29+AQ33+AQ42+AQ48+AQ50+AQ57+AQ62+AQ74+AQ76+AQ81+AQ84</f>
        <v>57863</v>
      </c>
      <c r="AR94" s="264">
        <f>AR3+AR5+AR9+AR12+AR20+AR29+AR33+AR42+AR48+AR50+AR57+AR62+AR74+AR76+AR81+AR84</f>
        <v>143382</v>
      </c>
      <c r="AS94" s="267">
        <f>AS3+AS5+AS9+AS12+AS20+AS29+AS33+AS42+AS48+AS50+AS57+AS62+AS74+AS76+AS81+AS84+AS87</f>
        <v>47993590</v>
      </c>
      <c r="AT94" s="267">
        <f>AT3+AT5+AT9+AT12+AT20+AT29+AT33+AT42+AT48+AT50+AT57+AT62+AT74+AT76+AT81+AT84+AT87</f>
        <v>32082767.130000003</v>
      </c>
      <c r="AU94" s="267">
        <f>AU3+AU5+AU9+AU12+AU20+AU29+AU33+AU42+AU48+AU50+AU57+AU62+AU74+AU76+AU81+AU84+AU87</f>
        <v>40222754.580000006</v>
      </c>
      <c r="AV94" s="264">
        <f>AV3+AV5+AV9+AV12+AV20+AV29+AV33+AV42+AV48+AV50+AV57+AV62+AV74+AV76+AV81+AV84</f>
        <v>103904</v>
      </c>
      <c r="AW94" s="264">
        <f>AW3+AW5+AW9+AW12+AW20+AW29+AW33+AW42+AW48+AW50+AW57+AW62+AW74+AW76+AW81+AW84</f>
        <v>433829</v>
      </c>
      <c r="AX94" s="333">
        <f>AX3+AX5+AX9+AX12+AX20+AX29+AX33+AX42+AX48+AX50+AX57+AX62+AX74+AX76+AX81+AX84</f>
        <v>10447407.26</v>
      </c>
      <c r="AY94" s="267">
        <f>AY3+AY5+AY9+AY12+AY20+AY29+AY33+AY42+AY48+AY50+AY57+AY62+AY74+AY76+AY81+AY84+AY87</f>
        <v>14371072.75</v>
      </c>
      <c r="AZ94" s="264">
        <f>AZ3+AZ5+AZ9+AZ12+AZ20+AZ29+AZ33+AZ42+AZ48+AZ50+AZ57+AZ62+AZ74+AZ76+AZ81+AZ84</f>
        <v>59775</v>
      </c>
      <c r="BA94" s="264">
        <f>BA3+BA5+BA9+BA12+BA20+BA29+BA33+BA42+BA48+BA50+BA57+BA62+BA74+BA76+BA81+BA84</f>
        <v>142420</v>
      </c>
      <c r="BB94" s="267">
        <f>BB3+BB5+BB9+BB12+BB20+BB29+BB33+BB42+BB48+BB50+BB57+BB62+BB74+BB76+BB81+BB84</f>
        <v>10395527.42</v>
      </c>
      <c r="BC94" s="267">
        <f>BC3+BC5+BC9+BC12+BC20+BC29+BC33+BC42+BC48+BC50+BC57+BC62+BC74+BC76+BC81+BC84+BC87</f>
        <v>12550531.039999997</v>
      </c>
      <c r="BD94" s="264">
        <f>BD3+BD5+BD9+BD12+BD20+BD29+BD33+BD42+BD48+BD50+BD57+BD62+BD74+BD76+BD81+BD84</f>
        <v>58695</v>
      </c>
      <c r="BE94" s="264">
        <f>BE3+BE5+BE9+BE12+BE20+BE29+BE33+BE42+BE48+BE50+BE57+BE62+BE74+BE76+BE81+BE84</f>
        <v>144030</v>
      </c>
      <c r="BF94" s="267">
        <f>BF3+BF5+BF9+BF12+BF20+BF29+BF33+BF42+BF48+BF50+BF57+BF62+BF74+BF76+BF81+BF84</f>
        <v>11239832.449999999</v>
      </c>
      <c r="BG94" s="267">
        <f>BG3+BG5+BG9+BG12+BG20+BG29+BG33+BG42+BG48+BG50+BG57+BG62+BG74+BG76+BG81+BG84+BG87</f>
        <v>13301150.790000001</v>
      </c>
      <c r="BH94" s="264">
        <f>BH3+BH5+BH9+BH12+BH20+BH29+BH33+BH42+BH48+BH50+BH57+BH62+BH74+BH76+BH81+BH84</f>
        <v>57746</v>
      </c>
      <c r="BI94" s="264">
        <f>BI3+BI5+BI9+BI12+BI20+BI29+BI33+BI42+BI48+BI50+BI57+BI62+BI74+BI76+BI81+BI84</f>
        <v>147379</v>
      </c>
      <c r="BJ94" s="267">
        <f>BJ3+BJ5+BJ9+BJ12+BJ20+BJ29+BJ33+BJ42+BJ48+BJ50+BJ57+BJ62+BJ74+BJ76+BJ81+BJ84+BJ87</f>
        <v>36394220</v>
      </c>
      <c r="BK94" s="267">
        <f>BK3+BK5+BK9+BK12+BK20+BK29+BK33+BK42+BK48+BK50+BK57+BK62+BK74+BK76+BK81+BK84+BK87</f>
        <v>34430478.659999996</v>
      </c>
      <c r="BL94" s="267">
        <f>BL3+BL5+BL9+BL12+BL20+BL29+BL33+BL42+BL48+BL50+BL57+BL62+BL74+BL76+BL81+BL84+BL87</f>
        <v>54061393.380000003</v>
      </c>
      <c r="BM94" s="264">
        <f>BM3+BM5+BM9+BM12+BM20+BM29+BM33+BM42+BM48+BM50+BM57+BM62+BM74+BM76+BM81+BM84</f>
        <v>107230</v>
      </c>
      <c r="BN94" s="264">
        <f>BN3+BN5+BN9+BN12+BN20+BN29+BN33+BN42+BN48+BN50+BN57+BN62+BN74+BN76+BN81+BN84</f>
        <v>443387</v>
      </c>
      <c r="BO94" s="267">
        <f>BO3+BO5+BO9+BO12+BO20+BO29+BO33+BO42+BO48+BO50+BO57+BO62+BO74+BO76+BO81+BO84</f>
        <v>10302624.99</v>
      </c>
      <c r="BP94" s="267">
        <f>BP3+BP5+BP9+BP12+BP20+BP29+BP33+BP42+BP48+BP50+BP57+BP62+BP74+BP76+BP81+BP84+BP87</f>
        <v>15528487.379999999</v>
      </c>
      <c r="BQ94" s="264">
        <f>BQ3+BQ5+BQ9+BQ12+BQ20+BQ29+BQ33+BQ42+BQ48+BQ50+BQ57+BQ62+BQ74+BQ76+BQ81+BQ84</f>
        <v>59261</v>
      </c>
      <c r="BR94" s="264">
        <f>BR3+BR5+BR9+BR12+BR20+BR29+BR33+BR42+BR48+BR50+BR57+BR62+BR74+BR76+BR81+BR84</f>
        <v>144423</v>
      </c>
      <c r="BS94" s="267">
        <f>BS3+BS5+BS9+BS12+BS20+BS29+BS33+BS42+BS48+BS50+BS57+BS62+BS74+BS76+BS81+BS84</f>
        <v>11171687.179999998</v>
      </c>
      <c r="BT94" s="267">
        <f>BT3+BT5+BT9+BT12+BT20+BT29+BT33+BT42+BT48+BT50+BT57+BT62+BT74+BT76+BT81+BT84+BT87</f>
        <v>13171442.640000001</v>
      </c>
      <c r="BU94" s="264">
        <f>BU3+BU5+BU9+BU12+BU20+BU29+BU33+BU42+BU48+BU50+BU57+BU62+BU74+BU76+BU81+BU84</f>
        <v>59899</v>
      </c>
      <c r="BV94" s="264">
        <f>BV3+BV5+BV9+BV12+BV20+BV29+BV33+BV42+BV48+BV50+BV57+BV62+BV74+BV76+BV81+BV84</f>
        <v>147915</v>
      </c>
      <c r="BW94" s="267">
        <f>BW3+BW5+BW9+BW12+BW20+BW29+BW33+BW42+BW48+BW50+BW57+BW62+BW74+BW76+BW81+BW84</f>
        <v>12956166.489999998</v>
      </c>
      <c r="BX94" s="267">
        <f>BX3+BX5+BX9+BX12+BX20+BX29+BX33+BX42+BX48+BX50+BX57+BX62+BX74+BX76+BX81+BX84+BX87</f>
        <v>25361463.359999999</v>
      </c>
      <c r="BY94" s="264">
        <f>BY3+BY5+BY9+BY12+BY20+BY29+BY33+BY42+BY48+BY50+BY57+BY62+BY74+BY76+BY81+BY84</f>
        <v>61515</v>
      </c>
      <c r="BZ94" s="264">
        <f>BZ3+BZ5+BZ9+BZ12+BZ20+BZ29+BZ33+BZ42+BZ48+BZ50+BZ57+BZ62+BZ74+BZ76+BZ81+BZ84</f>
        <v>151049</v>
      </c>
      <c r="CA94" s="305"/>
    </row>
    <row r="95" spans="1:79" ht="20.100000000000001" customHeight="1" x14ac:dyDescent="0.25">
      <c r="AX95" s="340"/>
      <c r="BH95" s="341"/>
      <c r="BI95" s="341"/>
    </row>
    <row r="96" spans="1:79" ht="20.100000000000001" customHeight="1" x14ac:dyDescent="0.25">
      <c r="A96" s="297"/>
      <c r="B96" s="297"/>
      <c r="C96" s="297"/>
      <c r="D96" s="297"/>
      <c r="AA96" s="297"/>
      <c r="AB96" s="297"/>
      <c r="AC96" s="297"/>
      <c r="AD96" s="297"/>
      <c r="AE96" s="297"/>
      <c r="AF96" s="297"/>
      <c r="AG96" s="297"/>
      <c r="AI96" s="297"/>
      <c r="AJ96" s="297"/>
      <c r="AK96" s="297"/>
      <c r="AX96" s="340"/>
    </row>
    <row r="97" s="297" customFormat="1" ht="20.100000000000001" customHeight="1" x14ac:dyDescent="0.25"/>
    <row r="98" s="297" customFormat="1" ht="20.100000000000001" customHeight="1" x14ac:dyDescent="0.25"/>
    <row r="99" s="297" customFormat="1" ht="20.100000000000001" customHeight="1" x14ac:dyDescent="0.25"/>
    <row r="100" s="297" customFormat="1" ht="20.100000000000001" customHeight="1" x14ac:dyDescent="0.25"/>
    <row r="101" s="297" customFormat="1" ht="20.100000000000001" customHeight="1" x14ac:dyDescent="0.25"/>
    <row r="102" s="297" customFormat="1" ht="20.100000000000001" customHeight="1" x14ac:dyDescent="0.25"/>
    <row r="103" s="297" customFormat="1" ht="20.100000000000001" customHeight="1" x14ac:dyDescent="0.25"/>
    <row r="104" s="297" customFormat="1" ht="20.100000000000001" customHeight="1" x14ac:dyDescent="0.25"/>
    <row r="105" s="297" customFormat="1" ht="20.100000000000001" customHeight="1" x14ac:dyDescent="0.25"/>
    <row r="106" s="297" customFormat="1" ht="20.100000000000001" customHeight="1" x14ac:dyDescent="0.25"/>
    <row r="107" s="297" customFormat="1" ht="20.100000000000001" customHeight="1" x14ac:dyDescent="0.25"/>
    <row r="108" s="297" customFormat="1" ht="20.100000000000001" customHeight="1" x14ac:dyDescent="0.25"/>
    <row r="109" s="297" customFormat="1" ht="20.100000000000001" customHeight="1" x14ac:dyDescent="0.25"/>
    <row r="110" s="297" customFormat="1" ht="20.100000000000001" customHeight="1" x14ac:dyDescent="0.25"/>
    <row r="111" s="297" customFormat="1" ht="20.100000000000001" customHeight="1" x14ac:dyDescent="0.25"/>
    <row r="112" s="297" customFormat="1" ht="20.100000000000001" customHeight="1" x14ac:dyDescent="0.25"/>
    <row r="113" s="297" customFormat="1" ht="20.100000000000001" customHeight="1" x14ac:dyDescent="0.25"/>
    <row r="114" s="297" customFormat="1" ht="20.100000000000001" customHeight="1" x14ac:dyDescent="0.25"/>
    <row r="115" s="297" customFormat="1" ht="20.100000000000001" customHeight="1" x14ac:dyDescent="0.25"/>
    <row r="116" s="297" customFormat="1" ht="20.100000000000001" customHeight="1" x14ac:dyDescent="0.25"/>
    <row r="117" s="297" customFormat="1" ht="20.100000000000001" customHeight="1" x14ac:dyDescent="0.25"/>
    <row r="118" s="297" customFormat="1" ht="20.100000000000001" customHeight="1" x14ac:dyDescent="0.25"/>
    <row r="119" s="297" customFormat="1" ht="20.100000000000001" customHeight="1" x14ac:dyDescent="0.25"/>
    <row r="120" s="297" customFormat="1" ht="20.100000000000001" customHeight="1" x14ac:dyDescent="0.25"/>
    <row r="121" s="297" customFormat="1" ht="20.100000000000001" customHeight="1" x14ac:dyDescent="0.25"/>
    <row r="122" s="297" customFormat="1" ht="20.100000000000001" customHeight="1" x14ac:dyDescent="0.25"/>
    <row r="123" s="297" customFormat="1" ht="20.100000000000001" customHeight="1" x14ac:dyDescent="0.25"/>
    <row r="124" s="297" customFormat="1" ht="20.100000000000001" customHeight="1" x14ac:dyDescent="0.25"/>
    <row r="125" s="297" customFormat="1" ht="20.100000000000001" customHeight="1" x14ac:dyDescent="0.25"/>
    <row r="126" s="297" customFormat="1" ht="20.100000000000001" customHeight="1" x14ac:dyDescent="0.25"/>
    <row r="127" s="297" customFormat="1" ht="20.100000000000001" customHeight="1" x14ac:dyDescent="0.25"/>
    <row r="128" s="297" customFormat="1" ht="20.100000000000001" customHeight="1" x14ac:dyDescent="0.25"/>
    <row r="129" s="297" customFormat="1" ht="20.100000000000001" customHeight="1" x14ac:dyDescent="0.25"/>
    <row r="130" s="297" customFormat="1" ht="20.100000000000001" customHeight="1" x14ac:dyDescent="0.25"/>
    <row r="131" s="297" customFormat="1" ht="20.100000000000001" customHeight="1" x14ac:dyDescent="0.25"/>
    <row r="132" s="297" customFormat="1" ht="20.100000000000001" customHeight="1" x14ac:dyDescent="0.25"/>
    <row r="133" s="297" customFormat="1" ht="20.100000000000001" customHeight="1" x14ac:dyDescent="0.25"/>
    <row r="134" s="297" customFormat="1" ht="20.100000000000001" customHeight="1" x14ac:dyDescent="0.25"/>
    <row r="135" s="297" customFormat="1" ht="20.100000000000001" customHeight="1" x14ac:dyDescent="0.25"/>
    <row r="136" s="297" customFormat="1" ht="20.100000000000001" customHeight="1" x14ac:dyDescent="0.25"/>
    <row r="137" s="297" customFormat="1" ht="20.100000000000001" customHeight="1" x14ac:dyDescent="0.25"/>
    <row r="138" s="297" customFormat="1" ht="20.100000000000001" customHeight="1" x14ac:dyDescent="0.25"/>
    <row r="139" s="297" customFormat="1" ht="20.100000000000001" customHeight="1" x14ac:dyDescent="0.25"/>
    <row r="140" s="297" customFormat="1" ht="20.100000000000001" customHeight="1" x14ac:dyDescent="0.25"/>
    <row r="141" s="297" customFormat="1" ht="20.100000000000001" customHeight="1" x14ac:dyDescent="0.25"/>
    <row r="142" s="297" customFormat="1" ht="20.100000000000001" customHeight="1" x14ac:dyDescent="0.25"/>
    <row r="143" s="297" customFormat="1" ht="20.100000000000001" customHeight="1" x14ac:dyDescent="0.25"/>
    <row r="144" s="297" customFormat="1" ht="20.100000000000001" customHeight="1" x14ac:dyDescent="0.25"/>
    <row r="145" s="297" customFormat="1" ht="20.100000000000001" customHeight="1" x14ac:dyDescent="0.25"/>
    <row r="146" s="297" customFormat="1" ht="20.100000000000001" customHeight="1" x14ac:dyDescent="0.25"/>
    <row r="147" s="297" customFormat="1" ht="20.100000000000001" customHeight="1" x14ac:dyDescent="0.25"/>
    <row r="148" s="297" customFormat="1" ht="20.100000000000001" customHeight="1" x14ac:dyDescent="0.25"/>
    <row r="149" s="297" customFormat="1" ht="20.100000000000001" customHeight="1" x14ac:dyDescent="0.25"/>
    <row r="150" s="297" customFormat="1" ht="20.100000000000001" customHeight="1" x14ac:dyDescent="0.25"/>
    <row r="151" s="297" customFormat="1" ht="20.100000000000001" customHeight="1" x14ac:dyDescent="0.25"/>
    <row r="152" s="297" customFormat="1" ht="20.100000000000001" customHeight="1" x14ac:dyDescent="0.25"/>
    <row r="153" s="297" customFormat="1" ht="20.100000000000001" customHeight="1" x14ac:dyDescent="0.25"/>
    <row r="154" s="297" customFormat="1" ht="20.100000000000001" customHeight="1" x14ac:dyDescent="0.25"/>
    <row r="155" s="297" customFormat="1" ht="20.100000000000001" customHeight="1" x14ac:dyDescent="0.25"/>
    <row r="156" s="297" customFormat="1" ht="20.100000000000001" customHeight="1" x14ac:dyDescent="0.25"/>
    <row r="157" s="297" customFormat="1" ht="20.100000000000001" customHeight="1" x14ac:dyDescent="0.25"/>
    <row r="158" s="297" customFormat="1" ht="20.100000000000001" customHeight="1" x14ac:dyDescent="0.25"/>
    <row r="159" s="297" customFormat="1" ht="20.100000000000001" customHeight="1" x14ac:dyDescent="0.25"/>
    <row r="160" s="297" customFormat="1" ht="20.100000000000001" customHeight="1" x14ac:dyDescent="0.25"/>
    <row r="161" s="297" customFormat="1" ht="20.100000000000001" customHeight="1" x14ac:dyDescent="0.25"/>
    <row r="162" s="297" customFormat="1" ht="20.100000000000001" customHeight="1" x14ac:dyDescent="0.25"/>
    <row r="163" s="297" customFormat="1" ht="20.100000000000001" customHeight="1" x14ac:dyDescent="0.25"/>
    <row r="164" s="297" customFormat="1" ht="20.100000000000001" customHeight="1" x14ac:dyDescent="0.25"/>
    <row r="165" s="297" customFormat="1" ht="20.100000000000001" customHeight="1" x14ac:dyDescent="0.25"/>
    <row r="166" s="297" customFormat="1" ht="20.100000000000001" customHeight="1" x14ac:dyDescent="0.25"/>
    <row r="167" s="297" customFormat="1" ht="20.100000000000001" customHeight="1" x14ac:dyDescent="0.25"/>
    <row r="168" s="297" customFormat="1" ht="20.100000000000001" customHeight="1" x14ac:dyDescent="0.25"/>
    <row r="169" s="297" customFormat="1" ht="20.100000000000001" customHeight="1" x14ac:dyDescent="0.25"/>
    <row r="170" s="297" customFormat="1" ht="20.100000000000001" customHeight="1" x14ac:dyDescent="0.25"/>
    <row r="171" s="297" customFormat="1" ht="20.100000000000001" customHeight="1" x14ac:dyDescent="0.25"/>
    <row r="172" s="297" customFormat="1" ht="20.100000000000001" customHeight="1" x14ac:dyDescent="0.25"/>
    <row r="173" s="297" customFormat="1" ht="20.100000000000001" customHeight="1" x14ac:dyDescent="0.25"/>
    <row r="174" s="297" customFormat="1" ht="20.100000000000001" customHeight="1" x14ac:dyDescent="0.25"/>
    <row r="175" s="297" customFormat="1" ht="20.100000000000001" customHeight="1" x14ac:dyDescent="0.25"/>
    <row r="176" s="297" customFormat="1" ht="20.100000000000001" customHeight="1" x14ac:dyDescent="0.25"/>
    <row r="177" s="297" customFormat="1" ht="20.100000000000001" customHeight="1" x14ac:dyDescent="0.25"/>
    <row r="178" s="297" customFormat="1" ht="20.100000000000001" customHeight="1" x14ac:dyDescent="0.25"/>
    <row r="179" s="297" customFormat="1" ht="20.100000000000001" customHeight="1" x14ac:dyDescent="0.25"/>
    <row r="180" s="297" customFormat="1" ht="20.100000000000001" customHeight="1" x14ac:dyDescent="0.25"/>
    <row r="181" s="297" customFormat="1" ht="20.100000000000001" customHeight="1" x14ac:dyDescent="0.25"/>
    <row r="182" s="297" customFormat="1" ht="20.100000000000001" customHeight="1" x14ac:dyDescent="0.25"/>
    <row r="183" s="297" customFormat="1" ht="20.100000000000001" customHeight="1" x14ac:dyDescent="0.25"/>
    <row r="184" s="297" customFormat="1" ht="20.100000000000001" customHeight="1" x14ac:dyDescent="0.25"/>
    <row r="185" s="297" customFormat="1" ht="20.100000000000001" customHeight="1" x14ac:dyDescent="0.25"/>
    <row r="186" s="297" customFormat="1" ht="20.100000000000001" customHeight="1" x14ac:dyDescent="0.25"/>
    <row r="187" s="297" customFormat="1" ht="20.100000000000001" customHeight="1" x14ac:dyDescent="0.25"/>
    <row r="188" s="297" customFormat="1" ht="20.100000000000001" customHeight="1" x14ac:dyDescent="0.25"/>
    <row r="189" s="297" customFormat="1" ht="20.100000000000001" customHeight="1" x14ac:dyDescent="0.25"/>
    <row r="190" s="297" customFormat="1" ht="20.100000000000001" customHeight="1" x14ac:dyDescent="0.25"/>
    <row r="191" s="297" customFormat="1" ht="20.100000000000001" customHeight="1" x14ac:dyDescent="0.25"/>
    <row r="192" s="297" customFormat="1" ht="20.100000000000001" customHeight="1" x14ac:dyDescent="0.25"/>
    <row r="193" s="297" customFormat="1" ht="20.100000000000001" customHeight="1" x14ac:dyDescent="0.25"/>
    <row r="194" s="297" customFormat="1" ht="20.100000000000001" customHeight="1" x14ac:dyDescent="0.25"/>
    <row r="195" s="297" customFormat="1" ht="20.100000000000001" customHeight="1" x14ac:dyDescent="0.25"/>
    <row r="196" s="297" customFormat="1" ht="20.100000000000001" customHeight="1" x14ac:dyDescent="0.25"/>
    <row r="197" s="297" customFormat="1" ht="20.100000000000001" customHeight="1" x14ac:dyDescent="0.25"/>
    <row r="198" s="297" customFormat="1" ht="20.100000000000001" customHeight="1" x14ac:dyDescent="0.25"/>
    <row r="199" s="297" customFormat="1" ht="20.100000000000001" customHeight="1" x14ac:dyDescent="0.25"/>
    <row r="200" s="297" customFormat="1" ht="20.100000000000001" customHeight="1" x14ac:dyDescent="0.25"/>
    <row r="201" s="297" customFormat="1" ht="20.100000000000001" customHeight="1" x14ac:dyDescent="0.25"/>
    <row r="202" s="297" customFormat="1" ht="20.100000000000001" customHeight="1" x14ac:dyDescent="0.25"/>
    <row r="203" s="297" customFormat="1" ht="20.100000000000001" customHeight="1" x14ac:dyDescent="0.25"/>
    <row r="204" s="297" customFormat="1" ht="20.100000000000001" customHeight="1" x14ac:dyDescent="0.25"/>
    <row r="205" s="297" customFormat="1" ht="20.100000000000001" customHeight="1" x14ac:dyDescent="0.25"/>
    <row r="206" s="297" customFormat="1" ht="20.100000000000001" customHeight="1" x14ac:dyDescent="0.25"/>
    <row r="207" s="297" customFormat="1" ht="20.100000000000001" customHeight="1" x14ac:dyDescent="0.25"/>
    <row r="208" s="297" customFormat="1" ht="20.100000000000001" customHeight="1" x14ac:dyDescent="0.25"/>
    <row r="209" s="297" customFormat="1" ht="20.100000000000001" customHeight="1" x14ac:dyDescent="0.25"/>
    <row r="210" s="297" customFormat="1" ht="20.100000000000001" customHeight="1" x14ac:dyDescent="0.25"/>
    <row r="211" s="297" customFormat="1" ht="20.100000000000001" customHeight="1" x14ac:dyDescent="0.25"/>
    <row r="212" s="297" customFormat="1" ht="20.100000000000001" customHeight="1" x14ac:dyDescent="0.25"/>
    <row r="213" s="297" customFormat="1" ht="20.100000000000001" customHeight="1" x14ac:dyDescent="0.25"/>
    <row r="214" s="297" customFormat="1" ht="20.100000000000001" customHeight="1" x14ac:dyDescent="0.25"/>
    <row r="215" s="297" customFormat="1" ht="20.100000000000001" customHeight="1" x14ac:dyDescent="0.25"/>
    <row r="216" s="297" customFormat="1" ht="20.100000000000001" customHeight="1" x14ac:dyDescent="0.25"/>
    <row r="217" s="297" customFormat="1" ht="20.100000000000001" customHeight="1" x14ac:dyDescent="0.25"/>
    <row r="218" s="297" customFormat="1" ht="20.100000000000001" customHeight="1" x14ac:dyDescent="0.25"/>
    <row r="219" s="297" customFormat="1" ht="20.100000000000001" customHeight="1" x14ac:dyDescent="0.25"/>
    <row r="220" s="297" customFormat="1" ht="20.100000000000001" customHeight="1" x14ac:dyDescent="0.25"/>
    <row r="221" s="297" customFormat="1" ht="20.100000000000001" customHeight="1" x14ac:dyDescent="0.25"/>
    <row r="222" s="297" customFormat="1" ht="20.100000000000001" customHeight="1" x14ac:dyDescent="0.25"/>
    <row r="223" s="297" customFormat="1" ht="20.100000000000001" customHeight="1" x14ac:dyDescent="0.25"/>
    <row r="224" s="297" customFormat="1" ht="20.100000000000001" customHeight="1" x14ac:dyDescent="0.25"/>
    <row r="225" s="297" customFormat="1" ht="20.100000000000001" customHeight="1" x14ac:dyDescent="0.25"/>
    <row r="226" s="297" customFormat="1" ht="20.100000000000001" customHeight="1" x14ac:dyDescent="0.25"/>
    <row r="227" s="297" customFormat="1" ht="20.100000000000001" customHeight="1" x14ac:dyDescent="0.25"/>
    <row r="228" s="297" customFormat="1" ht="20.100000000000001" customHeight="1" x14ac:dyDescent="0.25"/>
    <row r="229" s="297" customFormat="1" ht="20.100000000000001" customHeight="1" x14ac:dyDescent="0.25"/>
    <row r="230" s="297" customFormat="1" ht="20.100000000000001" customHeight="1" x14ac:dyDescent="0.25"/>
    <row r="231" s="297" customFormat="1" ht="20.100000000000001" customHeight="1" x14ac:dyDescent="0.25"/>
    <row r="232" s="297" customFormat="1" ht="20.100000000000001" customHeight="1" x14ac:dyDescent="0.25"/>
    <row r="233" s="297" customFormat="1" ht="20.100000000000001" customHeight="1" x14ac:dyDescent="0.25"/>
    <row r="234" s="297" customFormat="1" ht="20.100000000000001" customHeight="1" x14ac:dyDescent="0.25"/>
    <row r="235" s="297" customFormat="1" ht="20.100000000000001" customHeight="1" x14ac:dyDescent="0.25"/>
    <row r="236" s="297" customFormat="1" ht="20.100000000000001" customHeight="1" x14ac:dyDescent="0.25"/>
    <row r="237" s="297" customFormat="1" ht="20.100000000000001" customHeight="1" x14ac:dyDescent="0.25"/>
    <row r="238" s="297" customFormat="1" ht="20.100000000000001" customHeight="1" x14ac:dyDescent="0.25"/>
    <row r="239" s="297" customFormat="1" ht="20.100000000000001" customHeight="1" x14ac:dyDescent="0.25"/>
    <row r="240" s="297" customFormat="1" ht="20.100000000000001" customHeight="1" x14ac:dyDescent="0.25"/>
    <row r="241" s="297" customFormat="1" ht="20.100000000000001" customHeight="1" x14ac:dyDescent="0.25"/>
    <row r="242" s="297" customFormat="1" ht="20.100000000000001" customHeight="1" x14ac:dyDescent="0.25"/>
    <row r="243" s="297" customFormat="1" ht="20.100000000000001" customHeight="1" x14ac:dyDescent="0.25"/>
    <row r="244" s="297" customFormat="1" ht="20.100000000000001" customHeight="1" x14ac:dyDescent="0.25"/>
    <row r="245" s="297" customFormat="1" ht="20.100000000000001" customHeight="1" x14ac:dyDescent="0.25"/>
    <row r="246" s="297" customFormat="1" ht="20.100000000000001" customHeight="1" x14ac:dyDescent="0.25"/>
    <row r="247" s="297" customFormat="1" ht="20.100000000000001" customHeight="1" x14ac:dyDescent="0.25"/>
    <row r="248" s="297" customFormat="1" ht="20.100000000000001" customHeight="1" x14ac:dyDescent="0.25"/>
    <row r="249" s="297" customFormat="1" ht="20.100000000000001" customHeight="1" x14ac:dyDescent="0.25"/>
    <row r="250" s="297" customFormat="1" ht="20.100000000000001" customHeight="1" x14ac:dyDescent="0.25"/>
    <row r="251" s="297" customFormat="1" ht="20.100000000000001" customHeight="1" x14ac:dyDescent="0.25"/>
    <row r="252" s="297" customFormat="1" ht="20.100000000000001" customHeight="1" x14ac:dyDescent="0.25"/>
    <row r="253" s="297" customFormat="1" ht="20.100000000000001" customHeight="1" x14ac:dyDescent="0.25"/>
    <row r="254" s="297" customFormat="1" ht="20.100000000000001" customHeight="1" x14ac:dyDescent="0.25"/>
    <row r="255" s="297" customFormat="1" ht="20.100000000000001" customHeight="1" x14ac:dyDescent="0.25"/>
    <row r="256" s="297" customFormat="1" ht="20.100000000000001" customHeight="1" x14ac:dyDescent="0.25"/>
    <row r="257" s="297" customFormat="1" ht="20.100000000000001" customHeight="1" x14ac:dyDescent="0.25"/>
    <row r="258" s="297" customFormat="1" ht="20.100000000000001" customHeight="1" x14ac:dyDescent="0.25"/>
    <row r="259" s="297" customFormat="1" ht="20.100000000000001" customHeight="1" x14ac:dyDescent="0.25"/>
    <row r="260" s="297" customFormat="1" ht="20.100000000000001" customHeight="1" x14ac:dyDescent="0.25"/>
    <row r="261" s="297" customFormat="1" ht="20.100000000000001" customHeight="1" x14ac:dyDescent="0.25"/>
    <row r="262" s="297" customFormat="1" ht="20.100000000000001" customHeight="1" x14ac:dyDescent="0.25"/>
    <row r="263" s="297" customFormat="1" ht="20.100000000000001" customHeight="1" x14ac:dyDescent="0.25"/>
    <row r="264" s="297" customFormat="1" ht="20.100000000000001" customHeight="1" x14ac:dyDescent="0.25"/>
    <row r="265" s="297" customFormat="1" ht="20.100000000000001" customHeight="1" x14ac:dyDescent="0.25"/>
    <row r="266" s="297" customFormat="1" ht="20.100000000000001" customHeight="1" x14ac:dyDescent="0.25"/>
    <row r="267" s="297" customFormat="1" ht="20.100000000000001" customHeight="1" x14ac:dyDescent="0.25"/>
    <row r="268" s="297" customFormat="1" ht="20.100000000000001" customHeight="1" x14ac:dyDescent="0.25"/>
    <row r="269" s="297" customFormat="1" ht="20.100000000000001" customHeight="1" x14ac:dyDescent="0.25"/>
    <row r="270" s="297" customFormat="1" ht="20.100000000000001" customHeight="1" x14ac:dyDescent="0.25"/>
    <row r="271" s="297" customFormat="1" ht="20.100000000000001" customHeight="1" x14ac:dyDescent="0.25"/>
    <row r="272" s="297" customFormat="1" ht="20.100000000000001" customHeight="1" x14ac:dyDescent="0.25"/>
    <row r="273" s="297" customFormat="1" ht="20.100000000000001" customHeight="1" x14ac:dyDescent="0.25"/>
    <row r="274" s="297" customFormat="1" ht="20.100000000000001" customHeight="1" x14ac:dyDescent="0.25"/>
    <row r="275" s="297" customFormat="1" ht="20.100000000000001" customHeight="1" x14ac:dyDescent="0.25"/>
    <row r="276" s="297" customFormat="1" ht="20.100000000000001" customHeight="1" x14ac:dyDescent="0.25"/>
    <row r="277" s="297" customFormat="1" ht="20.100000000000001" customHeight="1" x14ac:dyDescent="0.25"/>
    <row r="278" s="297" customFormat="1" ht="20.100000000000001" customHeight="1" x14ac:dyDescent="0.25"/>
    <row r="279" s="297" customFormat="1" ht="20.100000000000001" customHeight="1" x14ac:dyDescent="0.25"/>
    <row r="280" s="297" customFormat="1" ht="20.100000000000001" customHeight="1" x14ac:dyDescent="0.25"/>
    <row r="281" s="297" customFormat="1" ht="20.100000000000001" customHeight="1" x14ac:dyDescent="0.25"/>
    <row r="282" s="297" customFormat="1" ht="20.100000000000001" customHeight="1" x14ac:dyDescent="0.25"/>
    <row r="283" s="297" customFormat="1" ht="20.100000000000001" customHeight="1" x14ac:dyDescent="0.25"/>
    <row r="284" s="297" customFormat="1" ht="20.100000000000001" customHeight="1" x14ac:dyDescent="0.25"/>
    <row r="285" s="297" customFormat="1" ht="20.100000000000001" customHeight="1" x14ac:dyDescent="0.25"/>
    <row r="286" s="297" customFormat="1" ht="20.100000000000001" customHeight="1" x14ac:dyDescent="0.25"/>
    <row r="287" s="297" customFormat="1" ht="20.100000000000001" customHeight="1" x14ac:dyDescent="0.25"/>
    <row r="288" s="297" customFormat="1" ht="20.100000000000001" customHeight="1" x14ac:dyDescent="0.25"/>
    <row r="289" s="297" customFormat="1" ht="20.100000000000001" customHeight="1" x14ac:dyDescent="0.25"/>
    <row r="290" s="297" customFormat="1" ht="20.100000000000001" customHeight="1" x14ac:dyDescent="0.25"/>
    <row r="291" s="297" customFormat="1" ht="20.100000000000001" customHeight="1" x14ac:dyDescent="0.25"/>
    <row r="292" s="297" customFormat="1" ht="20.100000000000001" customHeight="1" x14ac:dyDescent="0.25"/>
    <row r="293" s="297" customFormat="1" ht="20.100000000000001" customHeight="1" x14ac:dyDescent="0.25"/>
    <row r="294" s="297" customFormat="1" ht="20.100000000000001" customHeight="1" x14ac:dyDescent="0.25"/>
    <row r="295" s="297" customFormat="1" ht="20.100000000000001" customHeight="1" x14ac:dyDescent="0.25"/>
    <row r="296" s="297" customFormat="1" ht="20.100000000000001" customHeight="1" x14ac:dyDescent="0.25"/>
    <row r="297" s="297" customFormat="1" ht="20.100000000000001" customHeight="1" x14ac:dyDescent="0.25"/>
    <row r="298" s="297" customFormat="1" ht="20.100000000000001" customHeight="1" x14ac:dyDescent="0.25"/>
    <row r="299" s="297" customFormat="1" ht="20.100000000000001" customHeight="1" x14ac:dyDescent="0.25"/>
    <row r="300" s="297" customFormat="1" ht="20.100000000000001" customHeight="1" x14ac:dyDescent="0.25"/>
    <row r="301" s="297" customFormat="1" ht="20.100000000000001" customHeight="1" x14ac:dyDescent="0.25"/>
    <row r="302" s="297" customFormat="1" ht="20.100000000000001" customHeight="1" x14ac:dyDescent="0.25"/>
    <row r="303" s="297" customFormat="1" ht="20.100000000000001" customHeight="1" x14ac:dyDescent="0.25"/>
    <row r="304" s="297" customFormat="1" ht="20.100000000000001" customHeight="1" x14ac:dyDescent="0.25"/>
    <row r="305" s="297" customFormat="1" ht="20.100000000000001" customHeight="1" x14ac:dyDescent="0.25"/>
    <row r="306" s="297" customFormat="1" ht="20.100000000000001" customHeight="1" x14ac:dyDescent="0.25"/>
    <row r="307" s="297" customFormat="1" ht="20.100000000000001" customHeight="1" x14ac:dyDescent="0.25"/>
    <row r="308" s="297" customFormat="1" ht="20.100000000000001" customHeight="1" x14ac:dyDescent="0.25"/>
    <row r="309" s="297" customFormat="1" ht="20.100000000000001" customHeight="1" x14ac:dyDescent="0.25"/>
    <row r="310" s="297" customFormat="1" ht="20.100000000000001" customHeight="1" x14ac:dyDescent="0.25"/>
    <row r="311" s="297" customFormat="1" ht="20.100000000000001" customHeight="1" x14ac:dyDescent="0.25"/>
    <row r="312" s="297" customFormat="1" ht="20.100000000000001" customHeight="1" x14ac:dyDescent="0.25"/>
    <row r="313" s="297" customFormat="1" ht="20.100000000000001" customHeight="1" x14ac:dyDescent="0.25"/>
    <row r="314" s="297" customFormat="1" ht="20.100000000000001" customHeight="1" x14ac:dyDescent="0.25"/>
    <row r="315" s="297" customFormat="1" ht="20.100000000000001" customHeight="1" x14ac:dyDescent="0.25"/>
    <row r="316" s="297" customFormat="1" ht="20.100000000000001" customHeight="1" x14ac:dyDescent="0.25"/>
    <row r="317" s="297" customFormat="1" ht="20.100000000000001" customHeight="1" x14ac:dyDescent="0.25"/>
    <row r="318" s="297" customFormat="1" ht="20.100000000000001" customHeight="1" x14ac:dyDescent="0.25"/>
    <row r="319" s="297" customFormat="1" ht="20.100000000000001" customHeight="1" x14ac:dyDescent="0.25"/>
    <row r="320" s="297" customFormat="1" ht="20.100000000000001" customHeight="1" x14ac:dyDescent="0.25"/>
    <row r="321" s="297" customFormat="1" ht="20.100000000000001" customHeight="1" x14ac:dyDescent="0.25"/>
    <row r="322" s="297" customFormat="1" ht="20.100000000000001" customHeight="1" x14ac:dyDescent="0.25"/>
    <row r="323" s="297" customFormat="1" ht="20.100000000000001" customHeight="1" x14ac:dyDescent="0.25"/>
    <row r="324" s="297" customFormat="1" ht="20.100000000000001" customHeight="1" x14ac:dyDescent="0.25"/>
    <row r="325" s="297" customFormat="1" ht="20.100000000000001" customHeight="1" x14ac:dyDescent="0.25"/>
    <row r="326" s="297" customFormat="1" ht="20.100000000000001" customHeight="1" x14ac:dyDescent="0.25"/>
    <row r="327" s="297" customFormat="1" ht="20.100000000000001" customHeight="1" x14ac:dyDescent="0.25"/>
    <row r="328" s="297" customFormat="1" ht="20.100000000000001" customHeight="1" x14ac:dyDescent="0.25"/>
    <row r="329" s="297" customFormat="1" ht="20.100000000000001" customHeight="1" x14ac:dyDescent="0.25"/>
    <row r="330" s="297" customFormat="1" ht="20.100000000000001" customHeight="1" x14ac:dyDescent="0.25"/>
    <row r="331" s="297" customFormat="1" ht="20.100000000000001" customHeight="1" x14ac:dyDescent="0.25"/>
    <row r="332" s="297" customFormat="1" ht="20.100000000000001" customHeight="1" x14ac:dyDescent="0.25"/>
    <row r="333" s="297" customFormat="1" ht="20.100000000000001" customHeight="1" x14ac:dyDescent="0.25"/>
    <row r="334" s="297" customFormat="1" ht="20.100000000000001" customHeight="1" x14ac:dyDescent="0.25"/>
    <row r="335" s="297" customFormat="1" ht="20.100000000000001" customHeight="1" x14ac:dyDescent="0.25"/>
    <row r="336" s="297" customFormat="1" ht="20.100000000000001" customHeight="1" x14ac:dyDescent="0.25"/>
    <row r="337" s="297" customFormat="1" ht="20.100000000000001" customHeight="1" x14ac:dyDescent="0.25"/>
    <row r="338" s="297" customFormat="1" ht="20.100000000000001" customHeight="1" x14ac:dyDescent="0.25"/>
    <row r="339" s="297" customFormat="1" ht="20.100000000000001" customHeight="1" x14ac:dyDescent="0.25"/>
    <row r="340" s="297" customFormat="1" ht="20.100000000000001" customHeight="1" x14ac:dyDescent="0.25"/>
    <row r="341" s="297" customFormat="1" ht="20.100000000000001" customHeight="1" x14ac:dyDescent="0.25"/>
    <row r="342" s="297" customFormat="1" ht="20.100000000000001" customHeight="1" x14ac:dyDescent="0.25"/>
    <row r="343" s="297" customFormat="1" ht="20.100000000000001" customHeight="1" x14ac:dyDescent="0.25"/>
    <row r="344" s="297" customFormat="1" ht="20.100000000000001" customHeight="1" x14ac:dyDescent="0.25"/>
    <row r="345" s="297" customFormat="1" ht="20.100000000000001" customHeight="1" x14ac:dyDescent="0.25"/>
    <row r="346" s="297" customFormat="1" ht="20.100000000000001" customHeight="1" x14ac:dyDescent="0.25"/>
    <row r="347" s="297" customFormat="1" ht="20.100000000000001" customHeight="1" x14ac:dyDescent="0.25"/>
    <row r="348" s="297" customFormat="1" ht="20.100000000000001" customHeight="1" x14ac:dyDescent="0.25"/>
    <row r="349" s="297" customFormat="1" ht="20.100000000000001" customHeight="1" x14ac:dyDescent="0.25"/>
    <row r="350" s="297" customFormat="1" ht="20.100000000000001" customHeight="1" x14ac:dyDescent="0.25"/>
    <row r="351" s="297" customFormat="1" ht="20.100000000000001" customHeight="1" x14ac:dyDescent="0.25"/>
    <row r="352" s="297" customFormat="1" ht="20.100000000000001" customHeight="1" x14ac:dyDescent="0.25"/>
    <row r="353" s="297" customFormat="1" ht="20.100000000000001" customHeight="1" x14ac:dyDescent="0.25"/>
    <row r="354" s="297" customFormat="1" ht="20.100000000000001" customHeight="1" x14ac:dyDescent="0.25"/>
    <row r="355" s="297" customFormat="1" ht="20.100000000000001" customHeight="1" x14ac:dyDescent="0.25"/>
    <row r="356" s="297" customFormat="1" ht="20.100000000000001" customHeight="1" x14ac:dyDescent="0.25"/>
    <row r="357" s="297" customFormat="1" ht="20.100000000000001" customHeight="1" x14ac:dyDescent="0.25"/>
    <row r="358" s="297" customFormat="1" ht="20.100000000000001" customHeight="1" x14ac:dyDescent="0.25"/>
    <row r="359" s="297" customFormat="1" ht="20.100000000000001" customHeight="1" x14ac:dyDescent="0.25"/>
    <row r="360" s="297" customFormat="1" ht="20.100000000000001" customHeight="1" x14ac:dyDescent="0.25"/>
    <row r="361" s="297" customFormat="1" ht="20.100000000000001" customHeight="1" x14ac:dyDescent="0.25"/>
    <row r="362" s="297" customFormat="1" ht="20.100000000000001" customHeight="1" x14ac:dyDescent="0.25"/>
    <row r="363" s="297" customFormat="1" ht="20.100000000000001" customHeight="1" x14ac:dyDescent="0.25"/>
    <row r="364" s="297" customFormat="1" ht="20.100000000000001" customHeight="1" x14ac:dyDescent="0.25"/>
    <row r="365" s="297" customFormat="1" ht="20.100000000000001" customHeight="1" x14ac:dyDescent="0.25"/>
    <row r="366" s="297" customFormat="1" ht="20.100000000000001" customHeight="1" x14ac:dyDescent="0.25"/>
    <row r="367" s="297" customFormat="1" ht="20.100000000000001" customHeight="1" x14ac:dyDescent="0.25"/>
    <row r="368" s="297" customFormat="1" ht="20.100000000000001" customHeight="1" x14ac:dyDescent="0.25"/>
    <row r="369" s="297" customFormat="1" ht="20.100000000000001" customHeight="1" x14ac:dyDescent="0.25"/>
    <row r="370" s="297" customFormat="1" ht="20.100000000000001" customHeight="1" x14ac:dyDescent="0.25"/>
    <row r="371" s="297" customFormat="1" ht="20.100000000000001" customHeight="1" x14ac:dyDescent="0.25"/>
    <row r="372" s="297" customFormat="1" ht="20.100000000000001" customHeight="1" x14ac:dyDescent="0.25"/>
    <row r="373" s="297" customFormat="1" ht="20.100000000000001" customHeight="1" x14ac:dyDescent="0.25"/>
    <row r="374" s="297" customFormat="1" ht="20.100000000000001" customHeight="1" x14ac:dyDescent="0.25"/>
    <row r="375" s="297" customFormat="1" ht="20.100000000000001" customHeight="1" x14ac:dyDescent="0.25"/>
    <row r="376" s="297" customFormat="1" ht="20.100000000000001" customHeight="1" x14ac:dyDescent="0.25"/>
    <row r="377" s="297" customFormat="1" ht="20.100000000000001" customHeight="1" x14ac:dyDescent="0.25"/>
    <row r="378" s="297" customFormat="1" ht="20.100000000000001" customHeight="1" x14ac:dyDescent="0.25"/>
    <row r="379" s="297" customFormat="1" ht="20.100000000000001" customHeight="1" x14ac:dyDescent="0.25"/>
    <row r="380" s="297" customFormat="1" ht="20.100000000000001" customHeight="1" x14ac:dyDescent="0.25"/>
    <row r="381" s="297" customFormat="1" ht="20.100000000000001" customHeight="1" x14ac:dyDescent="0.25"/>
    <row r="382" s="297" customFormat="1" ht="20.100000000000001" customHeight="1" x14ac:dyDescent="0.25"/>
    <row r="383" s="297" customFormat="1" ht="20.100000000000001" customHeight="1" x14ac:dyDescent="0.25"/>
    <row r="384" s="297" customFormat="1" ht="20.100000000000001" customHeight="1" x14ac:dyDescent="0.25"/>
    <row r="385" s="297" customFormat="1" ht="20.100000000000001" customHeight="1" x14ac:dyDescent="0.25"/>
    <row r="386" s="297" customFormat="1" ht="20.100000000000001" customHeight="1" x14ac:dyDescent="0.25"/>
    <row r="387" s="297" customFormat="1" ht="20.100000000000001" customHeight="1" x14ac:dyDescent="0.25"/>
    <row r="388" s="297" customFormat="1" ht="20.100000000000001" customHeight="1" x14ac:dyDescent="0.25"/>
    <row r="389" s="297" customFormat="1" ht="20.100000000000001" customHeight="1" x14ac:dyDescent="0.25"/>
    <row r="390" s="297" customFormat="1" ht="20.100000000000001" customHeight="1" x14ac:dyDescent="0.25"/>
    <row r="391" s="297" customFormat="1" ht="20.100000000000001" customHeight="1" x14ac:dyDescent="0.25"/>
    <row r="392" s="297" customFormat="1" ht="20.100000000000001" customHeight="1" x14ac:dyDescent="0.25"/>
    <row r="393" s="297" customFormat="1" ht="20.100000000000001" customHeight="1" x14ac:dyDescent="0.25"/>
    <row r="394" s="297" customFormat="1" ht="20.100000000000001" customHeight="1" x14ac:dyDescent="0.25"/>
    <row r="395" s="297" customFormat="1" ht="20.100000000000001" customHeight="1" x14ac:dyDescent="0.25"/>
    <row r="396" s="297" customFormat="1" ht="20.100000000000001" customHeight="1" x14ac:dyDescent="0.25"/>
    <row r="397" s="297" customFormat="1" ht="20.100000000000001" customHeight="1" x14ac:dyDescent="0.25"/>
    <row r="398" s="297" customFormat="1" ht="20.100000000000001" customHeight="1" x14ac:dyDescent="0.25"/>
    <row r="399" s="297" customFormat="1" ht="20.100000000000001" customHeight="1" x14ac:dyDescent="0.25"/>
    <row r="400" s="297" customFormat="1" ht="20.100000000000001" customHeight="1" x14ac:dyDescent="0.25"/>
    <row r="401" s="297" customFormat="1" ht="20.100000000000001" customHeight="1" x14ac:dyDescent="0.25"/>
    <row r="402" s="297" customFormat="1" ht="20.100000000000001" customHeight="1" x14ac:dyDescent="0.25"/>
    <row r="403" s="297" customFormat="1" ht="20.100000000000001" customHeight="1" x14ac:dyDescent="0.25"/>
    <row r="404" s="297" customFormat="1" ht="20.100000000000001" customHeight="1" x14ac:dyDescent="0.25"/>
    <row r="405" s="297" customFormat="1" ht="20.100000000000001" customHeight="1" x14ac:dyDescent="0.25"/>
    <row r="406" s="297" customFormat="1" ht="20.100000000000001" customHeight="1" x14ac:dyDescent="0.25"/>
    <row r="407" s="297" customFormat="1" ht="20.100000000000001" customHeight="1" x14ac:dyDescent="0.25"/>
    <row r="408" s="297" customFormat="1" ht="20.100000000000001" customHeight="1" x14ac:dyDescent="0.25"/>
    <row r="409" s="297" customFormat="1" ht="20.100000000000001" customHeight="1" x14ac:dyDescent="0.25"/>
    <row r="410" s="297" customFormat="1" ht="20.100000000000001" customHeight="1" x14ac:dyDescent="0.25"/>
    <row r="411" s="297" customFormat="1" ht="20.100000000000001" customHeight="1" x14ac:dyDescent="0.25"/>
    <row r="412" s="297" customFormat="1" ht="20.100000000000001" customHeight="1" x14ac:dyDescent="0.25"/>
    <row r="413" s="297" customFormat="1" ht="20.100000000000001" customHeight="1" x14ac:dyDescent="0.25"/>
    <row r="414" s="297" customFormat="1" ht="20.100000000000001" customHeight="1" x14ac:dyDescent="0.25"/>
    <row r="415" s="297" customFormat="1" ht="20.100000000000001" customHeight="1" x14ac:dyDescent="0.25"/>
    <row r="416" s="297" customFormat="1" ht="20.100000000000001" customHeight="1" x14ac:dyDescent="0.25"/>
    <row r="417" s="297" customFormat="1" ht="20.100000000000001" customHeight="1" x14ac:dyDescent="0.25"/>
    <row r="418" s="297" customFormat="1" ht="20.100000000000001" customHeight="1" x14ac:dyDescent="0.25"/>
    <row r="419" s="297" customFormat="1" ht="20.100000000000001" customHeight="1" x14ac:dyDescent="0.25"/>
    <row r="420" s="297" customFormat="1" ht="20.100000000000001" customHeight="1" x14ac:dyDescent="0.25"/>
    <row r="421" s="297" customFormat="1" ht="20.100000000000001" customHeight="1" x14ac:dyDescent="0.25"/>
    <row r="422" s="297" customFormat="1" ht="20.100000000000001" customHeight="1" x14ac:dyDescent="0.25"/>
    <row r="423" s="297" customFormat="1" ht="20.100000000000001" customHeight="1" x14ac:dyDescent="0.25"/>
    <row r="424" s="297" customFormat="1" ht="20.100000000000001" customHeight="1" x14ac:dyDescent="0.25"/>
    <row r="425" s="297" customFormat="1" ht="20.100000000000001" customHeight="1" x14ac:dyDescent="0.25"/>
    <row r="426" s="297" customFormat="1" ht="20.100000000000001" customHeight="1" x14ac:dyDescent="0.25"/>
    <row r="427" s="297" customFormat="1" ht="20.100000000000001" customHeight="1" x14ac:dyDescent="0.25"/>
    <row r="428" s="297" customFormat="1" ht="20.100000000000001" customHeight="1" x14ac:dyDescent="0.25"/>
    <row r="429" s="297" customFormat="1" ht="20.100000000000001" customHeight="1" x14ac:dyDescent="0.25"/>
    <row r="430" s="297" customFormat="1" ht="20.100000000000001" customHeight="1" x14ac:dyDescent="0.25"/>
    <row r="431" s="297" customFormat="1" ht="20.100000000000001" customHeight="1" x14ac:dyDescent="0.25"/>
    <row r="432" s="297" customFormat="1" ht="20.100000000000001" customHeight="1" x14ac:dyDescent="0.25"/>
    <row r="433" s="297" customFormat="1" ht="20.100000000000001" customHeight="1" x14ac:dyDescent="0.25"/>
    <row r="434" s="297" customFormat="1" ht="20.100000000000001" customHeight="1" x14ac:dyDescent="0.25"/>
    <row r="435" s="297" customFormat="1" ht="20.100000000000001" customHeight="1" x14ac:dyDescent="0.25"/>
    <row r="436" s="297" customFormat="1" ht="20.100000000000001" customHeight="1" x14ac:dyDescent="0.25"/>
    <row r="437" s="297" customFormat="1" ht="20.100000000000001" customHeight="1" x14ac:dyDescent="0.25"/>
    <row r="438" s="297" customFormat="1" ht="20.100000000000001" customHeight="1" x14ac:dyDescent="0.25"/>
    <row r="439" s="297" customFormat="1" ht="20.100000000000001" customHeight="1" x14ac:dyDescent="0.25"/>
    <row r="440" s="297" customFormat="1" ht="20.100000000000001" customHeight="1" x14ac:dyDescent="0.25"/>
    <row r="441" s="297" customFormat="1" ht="20.100000000000001" customHeight="1" x14ac:dyDescent="0.25"/>
    <row r="442" s="297" customFormat="1" ht="20.100000000000001" customHeight="1" x14ac:dyDescent="0.25"/>
    <row r="443" s="297" customFormat="1" ht="20.100000000000001" customHeight="1" x14ac:dyDescent="0.25"/>
    <row r="444" s="297" customFormat="1" ht="20.100000000000001" customHeight="1" x14ac:dyDescent="0.25"/>
    <row r="445" s="297" customFormat="1" ht="20.100000000000001" customHeight="1" x14ac:dyDescent="0.25"/>
    <row r="446" s="297" customFormat="1" ht="20.100000000000001" customHeight="1" x14ac:dyDescent="0.25"/>
    <row r="447" s="297" customFormat="1" ht="20.100000000000001" customHeight="1" x14ac:dyDescent="0.25"/>
    <row r="448" s="297" customFormat="1" ht="20.100000000000001" customHeight="1" x14ac:dyDescent="0.25"/>
    <row r="449" s="297" customFormat="1" ht="20.100000000000001" customHeight="1" x14ac:dyDescent="0.25"/>
    <row r="450" s="297" customFormat="1" ht="20.100000000000001" customHeight="1" x14ac:dyDescent="0.25"/>
    <row r="451" s="297" customFormat="1" ht="20.100000000000001" customHeight="1" x14ac:dyDescent="0.25"/>
    <row r="452" s="297" customFormat="1" ht="20.100000000000001" customHeight="1" x14ac:dyDescent="0.25"/>
    <row r="453" s="297" customFormat="1" ht="20.100000000000001" customHeight="1" x14ac:dyDescent="0.25"/>
    <row r="454" s="297" customFormat="1" ht="20.100000000000001" customHeight="1" x14ac:dyDescent="0.25"/>
    <row r="455" s="297" customFormat="1" ht="20.100000000000001" customHeight="1" x14ac:dyDescent="0.25"/>
    <row r="456" s="297" customFormat="1" ht="20.100000000000001" customHeight="1" x14ac:dyDescent="0.25"/>
    <row r="457" s="297" customFormat="1" ht="20.100000000000001" customHeight="1" x14ac:dyDescent="0.25"/>
    <row r="458" s="297" customFormat="1" ht="20.100000000000001" customHeight="1" x14ac:dyDescent="0.25"/>
    <row r="459" s="297" customFormat="1" ht="20.100000000000001" customHeight="1" x14ac:dyDescent="0.25"/>
    <row r="460" s="297" customFormat="1" ht="20.100000000000001" customHeight="1" x14ac:dyDescent="0.25"/>
    <row r="461" s="297" customFormat="1" ht="20.100000000000001" customHeight="1" x14ac:dyDescent="0.25"/>
    <row r="462" s="297" customFormat="1" ht="20.100000000000001" customHeight="1" x14ac:dyDescent="0.25"/>
    <row r="463" s="297" customFormat="1" ht="20.100000000000001" customHeight="1" x14ac:dyDescent="0.25"/>
    <row r="464" s="297" customFormat="1" ht="20.100000000000001" customHeight="1" x14ac:dyDescent="0.25"/>
    <row r="465" s="297" customFormat="1" ht="20.100000000000001" customHeight="1" x14ac:dyDescent="0.25"/>
    <row r="466" s="297" customFormat="1" ht="20.100000000000001" customHeight="1" x14ac:dyDescent="0.25"/>
    <row r="467" s="297" customFormat="1" ht="20.100000000000001" customHeight="1" x14ac:dyDescent="0.25"/>
    <row r="468" s="297" customFormat="1" ht="20.100000000000001" customHeight="1" x14ac:dyDescent="0.25"/>
    <row r="469" s="297" customFormat="1" ht="20.100000000000001" customHeight="1" x14ac:dyDescent="0.25"/>
    <row r="470" s="297" customFormat="1" ht="20.100000000000001" customHeight="1" x14ac:dyDescent="0.25"/>
    <row r="471" s="297" customFormat="1" ht="20.100000000000001" customHeight="1" x14ac:dyDescent="0.25"/>
    <row r="472" s="297" customFormat="1" ht="20.100000000000001" customHeight="1" x14ac:dyDescent="0.25"/>
    <row r="473" s="297" customFormat="1" ht="20.100000000000001" customHeight="1" x14ac:dyDescent="0.25"/>
    <row r="474" s="297" customFormat="1" ht="20.100000000000001" customHeight="1" x14ac:dyDescent="0.25"/>
    <row r="475" s="297" customFormat="1" ht="20.100000000000001" customHeight="1" x14ac:dyDescent="0.25"/>
    <row r="476" s="297" customFormat="1" ht="20.100000000000001" customHeight="1" x14ac:dyDescent="0.25"/>
    <row r="477" s="297" customFormat="1" ht="20.100000000000001" customHeight="1" x14ac:dyDescent="0.25"/>
    <row r="478" s="297" customFormat="1" ht="20.100000000000001" customHeight="1" x14ac:dyDescent="0.25"/>
    <row r="479" s="297" customFormat="1" ht="20.100000000000001" customHeight="1" x14ac:dyDescent="0.25"/>
    <row r="480" s="297" customFormat="1" ht="20.100000000000001" customHeight="1" x14ac:dyDescent="0.25"/>
    <row r="481" s="297" customFormat="1" ht="20.100000000000001" customHeight="1" x14ac:dyDescent="0.25"/>
    <row r="482" s="297" customFormat="1" ht="20.100000000000001" customHeight="1" x14ac:dyDescent="0.25"/>
    <row r="483" s="297" customFormat="1" ht="20.100000000000001" customHeight="1" x14ac:dyDescent="0.25"/>
    <row r="484" s="297" customFormat="1" ht="20.100000000000001" customHeight="1" x14ac:dyDescent="0.25"/>
    <row r="485" s="297" customFormat="1" ht="20.100000000000001" customHeight="1" x14ac:dyDescent="0.25"/>
    <row r="486" s="297" customFormat="1" ht="20.100000000000001" customHeight="1" x14ac:dyDescent="0.25"/>
    <row r="487" s="297" customFormat="1" ht="20.100000000000001" customHeight="1" x14ac:dyDescent="0.25"/>
    <row r="488" s="297" customFormat="1" ht="20.100000000000001" customHeight="1" x14ac:dyDescent="0.25"/>
    <row r="489" s="297" customFormat="1" ht="20.100000000000001" customHeight="1" x14ac:dyDescent="0.25"/>
    <row r="490" s="297" customFormat="1" ht="20.100000000000001" customHeight="1" x14ac:dyDescent="0.25"/>
    <row r="491" s="297" customFormat="1" ht="20.100000000000001" customHeight="1" x14ac:dyDescent="0.25"/>
    <row r="492" s="297" customFormat="1" ht="20.100000000000001" customHeight="1" x14ac:dyDescent="0.25"/>
    <row r="493" s="297" customFormat="1" ht="20.100000000000001" customHeight="1" x14ac:dyDescent="0.25"/>
    <row r="494" s="297" customFormat="1" ht="20.100000000000001" customHeight="1" x14ac:dyDescent="0.25"/>
    <row r="495" s="297" customFormat="1" ht="20.100000000000001" customHeight="1" x14ac:dyDescent="0.25"/>
    <row r="496" s="297" customFormat="1" ht="20.100000000000001" customHeight="1" x14ac:dyDescent="0.25"/>
    <row r="497" s="297" customFormat="1" ht="20.100000000000001" customHeight="1" x14ac:dyDescent="0.25"/>
    <row r="498" s="297" customFormat="1" ht="20.100000000000001" customHeight="1" x14ac:dyDescent="0.25"/>
    <row r="499" s="297" customFormat="1" ht="20.100000000000001" customHeight="1" x14ac:dyDescent="0.25"/>
    <row r="500" s="297" customFormat="1" ht="20.100000000000001" customHeight="1" x14ac:dyDescent="0.25"/>
    <row r="501" s="297" customFormat="1" ht="20.100000000000001" customHeight="1" x14ac:dyDescent="0.25"/>
    <row r="502" s="297" customFormat="1" ht="20.100000000000001" customHeight="1" x14ac:dyDescent="0.25"/>
    <row r="503" s="297" customFormat="1" ht="20.100000000000001" customHeight="1" x14ac:dyDescent="0.25"/>
    <row r="504" s="297" customFormat="1" ht="20.100000000000001" customHeight="1" x14ac:dyDescent="0.25"/>
    <row r="505" s="297" customFormat="1" ht="20.100000000000001" customHeight="1" x14ac:dyDescent="0.25"/>
    <row r="506" s="297" customFormat="1" ht="20.100000000000001" customHeight="1" x14ac:dyDescent="0.25"/>
    <row r="507" s="297" customFormat="1" ht="20.100000000000001" customHeight="1" x14ac:dyDescent="0.25"/>
    <row r="508" s="297" customFormat="1" ht="20.100000000000001" customHeight="1" x14ac:dyDescent="0.25"/>
    <row r="509" s="297" customFormat="1" ht="20.100000000000001" customHeight="1" x14ac:dyDescent="0.25"/>
    <row r="510" s="297" customFormat="1" ht="20.100000000000001" customHeight="1" x14ac:dyDescent="0.25"/>
    <row r="511" s="297" customFormat="1" ht="20.100000000000001" customHeight="1" x14ac:dyDescent="0.25"/>
    <row r="512" s="297" customFormat="1" ht="20.100000000000001" customHeight="1" x14ac:dyDescent="0.25"/>
    <row r="513" s="297" customFormat="1" ht="20.100000000000001" customHeight="1" x14ac:dyDescent="0.25"/>
    <row r="514" s="297" customFormat="1" ht="20.100000000000001" customHeight="1" x14ac:dyDescent="0.25"/>
    <row r="515" s="297" customFormat="1" ht="20.100000000000001" customHeight="1" x14ac:dyDescent="0.25"/>
    <row r="516" s="297" customFormat="1" ht="20.100000000000001" customHeight="1" x14ac:dyDescent="0.25"/>
    <row r="517" s="297" customFormat="1" ht="20.100000000000001" customHeight="1" x14ac:dyDescent="0.25"/>
    <row r="518" s="297" customFormat="1" ht="20.100000000000001" customHeight="1" x14ac:dyDescent="0.25"/>
    <row r="519" s="297" customFormat="1" ht="20.100000000000001" customHeight="1" x14ac:dyDescent="0.25"/>
    <row r="520" s="297" customFormat="1" ht="20.100000000000001" customHeight="1" x14ac:dyDescent="0.25"/>
    <row r="521" s="297" customFormat="1" ht="20.100000000000001" customHeight="1" x14ac:dyDescent="0.25"/>
    <row r="522" s="297" customFormat="1" ht="20.100000000000001" customHeight="1" x14ac:dyDescent="0.25"/>
    <row r="523" s="297" customFormat="1" ht="20.100000000000001" customHeight="1" x14ac:dyDescent="0.25"/>
    <row r="524" s="297" customFormat="1" ht="20.100000000000001" customHeight="1" x14ac:dyDescent="0.25"/>
    <row r="525" s="297" customFormat="1" ht="20.100000000000001" customHeight="1" x14ac:dyDescent="0.25"/>
    <row r="526" s="297" customFormat="1" ht="20.100000000000001" customHeight="1" x14ac:dyDescent="0.25"/>
    <row r="527" s="297" customFormat="1" ht="20.100000000000001" customHeight="1" x14ac:dyDescent="0.25"/>
    <row r="528" s="297" customFormat="1" ht="20.100000000000001" customHeight="1" x14ac:dyDescent="0.25"/>
    <row r="529" s="297" customFormat="1" ht="20.100000000000001" customHeight="1" x14ac:dyDescent="0.25"/>
    <row r="530" s="297" customFormat="1" ht="20.100000000000001" customHeight="1" x14ac:dyDescent="0.25"/>
    <row r="531" s="297" customFormat="1" ht="20.100000000000001" customHeight="1" x14ac:dyDescent="0.25"/>
    <row r="532" s="297" customFormat="1" ht="20.100000000000001" customHeight="1" x14ac:dyDescent="0.25"/>
    <row r="533" s="297" customFormat="1" ht="20.100000000000001" customHeight="1" x14ac:dyDescent="0.25"/>
    <row r="534" s="297" customFormat="1" ht="20.100000000000001" customHeight="1" x14ac:dyDescent="0.25"/>
    <row r="535" s="297" customFormat="1" ht="20.100000000000001" customHeight="1" x14ac:dyDescent="0.25"/>
    <row r="536" s="297" customFormat="1" ht="20.100000000000001" customHeight="1" x14ac:dyDescent="0.25"/>
    <row r="537" s="297" customFormat="1" ht="20.100000000000001" customHeight="1" x14ac:dyDescent="0.25"/>
    <row r="538" s="297" customFormat="1" ht="20.100000000000001" customHeight="1" x14ac:dyDescent="0.25"/>
    <row r="539" s="297" customFormat="1" ht="20.100000000000001" customHeight="1" x14ac:dyDescent="0.25"/>
    <row r="540" s="297" customFormat="1" ht="20.100000000000001" customHeight="1" x14ac:dyDescent="0.25"/>
    <row r="541" s="297" customFormat="1" ht="20.100000000000001" customHeight="1" x14ac:dyDescent="0.25"/>
    <row r="542" s="297" customFormat="1" ht="20.100000000000001" customHeight="1" x14ac:dyDescent="0.25"/>
    <row r="543" s="297" customFormat="1" ht="20.100000000000001" customHeight="1" x14ac:dyDescent="0.25"/>
    <row r="544" s="297" customFormat="1" ht="20.100000000000001" customHeight="1" x14ac:dyDescent="0.25"/>
    <row r="545" s="297" customFormat="1" ht="20.100000000000001" customHeight="1" x14ac:dyDescent="0.25"/>
    <row r="546" s="297" customFormat="1" ht="20.100000000000001" customHeight="1" x14ac:dyDescent="0.25"/>
    <row r="547" s="297" customFormat="1" ht="20.100000000000001" customHeight="1" x14ac:dyDescent="0.25"/>
    <row r="548" s="297" customFormat="1" ht="20.100000000000001" customHeight="1" x14ac:dyDescent="0.25"/>
    <row r="549" s="297" customFormat="1" ht="20.100000000000001" customHeight="1" x14ac:dyDescent="0.25"/>
    <row r="550" s="297" customFormat="1" ht="20.100000000000001" customHeight="1" x14ac:dyDescent="0.25"/>
    <row r="551" s="297" customFormat="1" ht="20.100000000000001" customHeight="1" x14ac:dyDescent="0.25"/>
    <row r="552" s="297" customFormat="1" ht="20.100000000000001" customHeight="1" x14ac:dyDescent="0.25"/>
    <row r="553" s="297" customFormat="1" ht="20.100000000000001" customHeight="1" x14ac:dyDescent="0.25"/>
    <row r="554" s="297" customFormat="1" ht="20.100000000000001" customHeight="1" x14ac:dyDescent="0.25"/>
    <row r="555" s="297" customFormat="1" ht="20.100000000000001" customHeight="1" x14ac:dyDescent="0.25"/>
    <row r="556" s="297" customFormat="1" ht="20.100000000000001" customHeight="1" x14ac:dyDescent="0.25"/>
    <row r="557" s="297" customFormat="1" ht="20.100000000000001" customHeight="1" x14ac:dyDescent="0.25"/>
    <row r="558" s="297" customFormat="1" ht="20.100000000000001" customHeight="1" x14ac:dyDescent="0.25"/>
    <row r="559" s="297" customFormat="1" ht="20.100000000000001" customHeight="1" x14ac:dyDescent="0.25"/>
    <row r="560" s="297" customFormat="1" ht="20.100000000000001" customHeight="1" x14ac:dyDescent="0.25"/>
    <row r="561" s="297" customFormat="1" ht="20.100000000000001" customHeight="1" x14ac:dyDescent="0.25"/>
    <row r="562" s="297" customFormat="1" ht="20.100000000000001" customHeight="1" x14ac:dyDescent="0.25"/>
    <row r="563" s="297" customFormat="1" ht="20.100000000000001" customHeight="1" x14ac:dyDescent="0.25"/>
    <row r="564" s="297" customFormat="1" ht="20.100000000000001" customHeight="1" x14ac:dyDescent="0.25"/>
    <row r="565" s="297" customFormat="1" ht="20.100000000000001" customHeight="1" x14ac:dyDescent="0.25"/>
    <row r="566" s="297" customFormat="1" ht="20.100000000000001" customHeight="1" x14ac:dyDescent="0.25"/>
    <row r="567" s="297" customFormat="1" ht="20.100000000000001" customHeight="1" x14ac:dyDescent="0.25"/>
    <row r="568" s="297" customFormat="1" ht="20.100000000000001" customHeight="1" x14ac:dyDescent="0.25"/>
    <row r="569" s="297" customFormat="1" ht="20.100000000000001" customHeight="1" x14ac:dyDescent="0.25"/>
    <row r="570" s="297" customFormat="1" ht="20.100000000000001" customHeight="1" x14ac:dyDescent="0.25"/>
    <row r="571" s="297" customFormat="1" ht="20.100000000000001" customHeight="1" x14ac:dyDescent="0.25"/>
    <row r="572" s="297" customFormat="1" ht="20.100000000000001" customHeight="1" x14ac:dyDescent="0.25"/>
    <row r="573" s="297" customFormat="1" ht="20.100000000000001" customHeight="1" x14ac:dyDescent="0.25"/>
    <row r="574" s="297" customFormat="1" ht="20.100000000000001" customHeight="1" x14ac:dyDescent="0.25"/>
    <row r="575" s="297" customFormat="1" ht="20.100000000000001" customHeight="1" x14ac:dyDescent="0.25"/>
    <row r="576" s="297" customFormat="1" ht="20.100000000000001" customHeight="1" x14ac:dyDescent="0.25"/>
    <row r="577" s="297" customFormat="1" ht="20.100000000000001" customHeight="1" x14ac:dyDescent="0.25"/>
    <row r="578" s="297" customFormat="1" ht="20.100000000000001" customHeight="1" x14ac:dyDescent="0.25"/>
    <row r="579" s="297" customFormat="1" ht="20.100000000000001" customHeight="1" x14ac:dyDescent="0.25"/>
    <row r="580" s="297" customFormat="1" ht="20.100000000000001" customHeight="1" x14ac:dyDescent="0.25"/>
    <row r="581" s="297" customFormat="1" ht="20.100000000000001" customHeight="1" x14ac:dyDescent="0.25"/>
    <row r="582" s="297" customFormat="1" ht="20.100000000000001" customHeight="1" x14ac:dyDescent="0.25"/>
    <row r="583" s="297" customFormat="1" ht="20.100000000000001" customHeight="1" x14ac:dyDescent="0.25"/>
    <row r="584" s="297" customFormat="1" ht="20.100000000000001" customHeight="1" x14ac:dyDescent="0.25"/>
    <row r="585" s="297" customFormat="1" ht="20.100000000000001" customHeight="1" x14ac:dyDescent="0.25"/>
    <row r="586" s="297" customFormat="1" ht="20.100000000000001" customHeight="1" x14ac:dyDescent="0.25"/>
    <row r="587" s="297" customFormat="1" ht="20.100000000000001" customHeight="1" x14ac:dyDescent="0.25"/>
    <row r="588" s="297" customFormat="1" ht="20.100000000000001" customHeight="1" x14ac:dyDescent="0.25"/>
    <row r="589" s="297" customFormat="1" ht="20.100000000000001" customHeight="1" x14ac:dyDescent="0.25"/>
    <row r="590" s="297" customFormat="1" ht="20.100000000000001" customHeight="1" x14ac:dyDescent="0.25"/>
    <row r="591" s="297" customFormat="1" ht="20.100000000000001" customHeight="1" x14ac:dyDescent="0.25"/>
    <row r="592" s="297" customFormat="1" ht="20.100000000000001" customHeight="1" x14ac:dyDescent="0.25"/>
    <row r="593" s="297" customFormat="1" ht="20.100000000000001" customHeight="1" x14ac:dyDescent="0.25"/>
    <row r="594" s="297" customFormat="1" ht="20.100000000000001" customHeight="1" x14ac:dyDescent="0.25"/>
    <row r="595" s="297" customFormat="1" ht="20.100000000000001" customHeight="1" x14ac:dyDescent="0.25"/>
    <row r="596" s="297" customFormat="1" ht="20.100000000000001" customHeight="1" x14ac:dyDescent="0.25"/>
    <row r="597" s="297" customFormat="1" ht="20.100000000000001" customHeight="1" x14ac:dyDescent="0.25"/>
    <row r="598" s="297" customFormat="1" ht="20.100000000000001" customHeight="1" x14ac:dyDescent="0.25"/>
    <row r="599" s="297" customFormat="1" ht="20.100000000000001" customHeight="1" x14ac:dyDescent="0.25"/>
    <row r="600" s="297" customFormat="1" ht="20.100000000000001" customHeight="1" x14ac:dyDescent="0.25"/>
    <row r="601" s="297" customFormat="1" ht="20.100000000000001" customHeight="1" x14ac:dyDescent="0.25"/>
    <row r="602" s="297" customFormat="1" ht="20.100000000000001" customHeight="1" x14ac:dyDescent="0.25"/>
    <row r="603" s="297" customFormat="1" ht="20.100000000000001" customHeight="1" x14ac:dyDescent="0.25"/>
    <row r="604" s="297" customFormat="1" ht="20.100000000000001" customHeight="1" x14ac:dyDescent="0.25"/>
    <row r="605" s="297" customFormat="1" ht="20.100000000000001" customHeight="1" x14ac:dyDescent="0.25"/>
    <row r="606" s="297" customFormat="1" ht="20.100000000000001" customHeight="1" x14ac:dyDescent="0.25"/>
    <row r="607" s="297" customFormat="1" ht="20.100000000000001" customHeight="1" x14ac:dyDescent="0.25"/>
    <row r="608" s="297" customFormat="1" ht="20.100000000000001" customHeight="1" x14ac:dyDescent="0.25"/>
    <row r="609" s="297" customFormat="1" ht="20.100000000000001" customHeight="1" x14ac:dyDescent="0.25"/>
    <row r="610" s="297" customFormat="1" ht="20.100000000000001" customHeight="1" x14ac:dyDescent="0.25"/>
    <row r="611" s="297" customFormat="1" ht="20.100000000000001" customHeight="1" x14ac:dyDescent="0.25"/>
    <row r="612" s="297" customFormat="1" ht="20.100000000000001" customHeight="1" x14ac:dyDescent="0.25"/>
    <row r="613" s="297" customFormat="1" ht="20.100000000000001" customHeight="1" x14ac:dyDescent="0.25"/>
    <row r="614" s="297" customFormat="1" ht="20.100000000000001" customHeight="1" x14ac:dyDescent="0.25"/>
    <row r="615" s="297" customFormat="1" ht="20.100000000000001" customHeight="1" x14ac:dyDescent="0.25"/>
    <row r="616" s="297" customFormat="1" ht="20.100000000000001" customHeight="1" x14ac:dyDescent="0.25"/>
    <row r="617" s="297" customFormat="1" ht="20.100000000000001" customHeight="1" x14ac:dyDescent="0.25"/>
    <row r="618" s="297" customFormat="1" ht="20.100000000000001" customHeight="1" x14ac:dyDescent="0.25"/>
    <row r="619" s="297" customFormat="1" ht="20.100000000000001" customHeight="1" x14ac:dyDescent="0.25"/>
    <row r="620" s="297" customFormat="1" ht="20.100000000000001" customHeight="1" x14ac:dyDescent="0.25"/>
    <row r="621" s="297" customFormat="1" ht="20.100000000000001" customHeight="1" x14ac:dyDescent="0.25"/>
    <row r="622" s="297" customFormat="1" ht="20.100000000000001" customHeight="1" x14ac:dyDescent="0.25"/>
    <row r="623" s="297" customFormat="1" ht="20.100000000000001" customHeight="1" x14ac:dyDescent="0.25"/>
    <row r="624" s="297" customFormat="1" ht="20.100000000000001" customHeight="1" x14ac:dyDescent="0.25"/>
    <row r="625" s="297" customFormat="1" ht="20.100000000000001" customHeight="1" x14ac:dyDescent="0.25"/>
    <row r="626" s="297" customFormat="1" ht="20.100000000000001" customHeight="1" x14ac:dyDescent="0.25"/>
    <row r="627" s="297" customFormat="1" ht="20.100000000000001" customHeight="1" x14ac:dyDescent="0.25"/>
    <row r="628" s="297" customFormat="1" ht="20.100000000000001" customHeight="1" x14ac:dyDescent="0.25"/>
    <row r="629" s="297" customFormat="1" ht="20.100000000000001" customHeight="1" x14ac:dyDescent="0.25"/>
    <row r="630" s="297" customFormat="1" ht="20.100000000000001" customHeight="1" x14ac:dyDescent="0.25"/>
    <row r="631" s="297" customFormat="1" ht="20.100000000000001" customHeight="1" x14ac:dyDescent="0.25"/>
    <row r="632" s="297" customFormat="1" ht="20.100000000000001" customHeight="1" x14ac:dyDescent="0.25"/>
    <row r="633" s="297" customFormat="1" ht="20.100000000000001" customHeight="1" x14ac:dyDescent="0.25"/>
    <row r="634" s="297" customFormat="1" ht="20.100000000000001" customHeight="1" x14ac:dyDescent="0.25"/>
    <row r="635" s="297" customFormat="1" ht="20.100000000000001" customHeight="1" x14ac:dyDescent="0.25"/>
    <row r="636" s="297" customFormat="1" ht="20.100000000000001" customHeight="1" x14ac:dyDescent="0.25"/>
    <row r="637" s="297" customFormat="1" ht="20.100000000000001" customHeight="1" x14ac:dyDescent="0.25"/>
    <row r="638" s="297" customFormat="1" ht="20.100000000000001" customHeight="1" x14ac:dyDescent="0.25"/>
    <row r="639" s="297" customFormat="1" ht="20.100000000000001" customHeight="1" x14ac:dyDescent="0.25"/>
    <row r="640" s="297" customFormat="1" ht="20.100000000000001" customHeight="1" x14ac:dyDescent="0.25"/>
    <row r="641" s="297" customFormat="1" ht="20.100000000000001" customHeight="1" x14ac:dyDescent="0.25"/>
    <row r="642" s="297" customFormat="1" ht="20.100000000000001" customHeight="1" x14ac:dyDescent="0.25"/>
    <row r="643" s="297" customFormat="1" ht="20.100000000000001" customHeight="1" x14ac:dyDescent="0.25"/>
    <row r="644" s="297" customFormat="1" ht="20.100000000000001" customHeight="1" x14ac:dyDescent="0.25"/>
    <row r="645" s="297" customFormat="1" ht="20.100000000000001" customHeight="1" x14ac:dyDescent="0.25"/>
    <row r="646" s="297" customFormat="1" ht="20.100000000000001" customHeight="1" x14ac:dyDescent="0.25"/>
    <row r="647" s="297" customFormat="1" ht="20.100000000000001" customHeight="1" x14ac:dyDescent="0.25"/>
    <row r="648" s="297" customFormat="1" ht="20.100000000000001" customHeight="1" x14ac:dyDescent="0.25"/>
    <row r="649" s="297" customFormat="1" ht="20.100000000000001" customHeight="1" x14ac:dyDescent="0.25"/>
    <row r="650" s="297" customFormat="1" ht="20.100000000000001" customHeight="1" x14ac:dyDescent="0.25"/>
    <row r="651" s="297" customFormat="1" ht="20.100000000000001" customHeight="1" x14ac:dyDescent="0.25"/>
    <row r="652" s="297" customFormat="1" ht="20.100000000000001" customHeight="1" x14ac:dyDescent="0.25"/>
    <row r="653" s="297" customFormat="1" ht="20.100000000000001" customHeight="1" x14ac:dyDescent="0.25"/>
    <row r="654" s="297" customFormat="1" ht="20.100000000000001" customHeight="1" x14ac:dyDescent="0.25"/>
    <row r="655" s="297" customFormat="1" ht="20.100000000000001" customHeight="1" x14ac:dyDescent="0.25"/>
    <row r="656" s="297" customFormat="1" ht="20.100000000000001" customHeight="1" x14ac:dyDescent="0.25"/>
    <row r="657" s="297" customFormat="1" ht="20.100000000000001" customHeight="1" x14ac:dyDescent="0.25"/>
    <row r="658" s="297" customFormat="1" ht="20.100000000000001" customHeight="1" x14ac:dyDescent="0.25"/>
    <row r="659" s="297" customFormat="1" ht="20.100000000000001" customHeight="1" x14ac:dyDescent="0.25"/>
    <row r="660" s="297" customFormat="1" ht="20.100000000000001" customHeight="1" x14ac:dyDescent="0.25"/>
    <row r="661" s="297" customFormat="1" ht="20.100000000000001" customHeight="1" x14ac:dyDescent="0.25"/>
    <row r="662" s="297" customFormat="1" ht="20.100000000000001" customHeight="1" x14ac:dyDescent="0.25"/>
    <row r="663" s="297" customFormat="1" ht="20.100000000000001" customHeight="1" x14ac:dyDescent="0.25"/>
    <row r="664" s="297" customFormat="1" ht="20.100000000000001" customHeight="1" x14ac:dyDescent="0.25"/>
    <row r="665" s="297" customFormat="1" ht="20.100000000000001" customHeight="1" x14ac:dyDescent="0.25"/>
    <row r="666" s="297" customFormat="1" ht="20.100000000000001" customHeight="1" x14ac:dyDescent="0.25"/>
    <row r="667" s="297" customFormat="1" ht="20.100000000000001" customHeight="1" x14ac:dyDescent="0.25"/>
    <row r="668" s="297" customFormat="1" ht="20.100000000000001" customHeight="1" x14ac:dyDescent="0.25"/>
    <row r="669" s="297" customFormat="1" ht="20.100000000000001" customHeight="1" x14ac:dyDescent="0.25"/>
  </sheetData>
  <mergeCells count="22">
    <mergeCell ref="A1:A2"/>
    <mergeCell ref="B1:B2"/>
    <mergeCell ref="C1:C2"/>
    <mergeCell ref="D1:D2"/>
    <mergeCell ref="E1:E2"/>
    <mergeCell ref="G1:J1"/>
    <mergeCell ref="K1:O1"/>
    <mergeCell ref="P1:S1"/>
    <mergeCell ref="T1:W1"/>
    <mergeCell ref="X1:AA1"/>
    <mergeCell ref="AB1:AF1"/>
    <mergeCell ref="AG1:AJ1"/>
    <mergeCell ref="AK1:AN1"/>
    <mergeCell ref="AO1:AR1"/>
    <mergeCell ref="AS1:AW1"/>
    <mergeCell ref="BS1:BV1"/>
    <mergeCell ref="BW1:BZ1"/>
    <mergeCell ref="AX1:BA1"/>
    <mergeCell ref="BB1:BE1"/>
    <mergeCell ref="BF1:BI1"/>
    <mergeCell ref="BJ1:BN1"/>
    <mergeCell ref="BO1:BR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K33"/>
  <sheetViews>
    <sheetView tabSelected="1" topLeftCell="A25" zoomScale="70" zoomScaleNormal="70" workbookViewId="0">
      <selection activeCell="G35" sqref="G35"/>
    </sheetView>
  </sheetViews>
  <sheetFormatPr defaultRowHeight="15.75" x14ac:dyDescent="0.25"/>
  <cols>
    <col min="1" max="1" width="3.140625" style="252" customWidth="1"/>
    <col min="2" max="2" width="18.140625" style="252" customWidth="1"/>
    <col min="3" max="3" width="38" style="252" customWidth="1"/>
    <col min="4" max="4" width="24.7109375" style="252" customWidth="1"/>
    <col min="5" max="5" width="25.42578125" style="252" customWidth="1"/>
    <col min="6" max="6" width="26.42578125" style="252" customWidth="1"/>
    <col min="7" max="7" width="25.42578125" style="342" customWidth="1"/>
    <col min="8" max="8" width="20.7109375" style="252" customWidth="1"/>
    <col min="9" max="9" width="23.7109375" style="252" customWidth="1"/>
    <col min="10" max="10" width="23" style="252" customWidth="1"/>
    <col min="11" max="11" width="20.85546875" style="342" customWidth="1"/>
    <col min="12" max="12" width="19.85546875" style="252" customWidth="1"/>
    <col min="13" max="13" width="17.5703125" style="252" customWidth="1"/>
    <col min="14" max="14" width="23.140625" style="342" customWidth="1"/>
    <col min="15" max="15" width="21" style="252" customWidth="1"/>
    <col min="16" max="16" width="16.7109375" style="252" customWidth="1"/>
    <col min="17" max="17" width="20.140625" style="252" customWidth="1"/>
    <col min="18" max="18" width="15.7109375" style="252" customWidth="1"/>
    <col min="19" max="19" width="16.7109375" style="252" customWidth="1"/>
    <col min="20" max="20" width="23.5703125" style="252" customWidth="1"/>
    <col min="21" max="21" width="17.42578125" style="252" customWidth="1"/>
    <col min="22" max="22" width="16.140625" style="252" customWidth="1"/>
    <col min="23" max="23" width="21.5703125" style="252" bestFit="1" customWidth="1"/>
    <col min="24" max="24" width="21.140625" style="252" bestFit="1" customWidth="1"/>
    <col min="25" max="26" width="16.140625" style="252" customWidth="1"/>
    <col min="27" max="27" width="21" style="252" bestFit="1" customWidth="1"/>
    <col min="28" max="28" width="17.5703125" style="252" customWidth="1"/>
    <col min="29" max="29" width="15.7109375" style="252" customWidth="1"/>
    <col min="30" max="30" width="21.140625" style="252" bestFit="1" customWidth="1"/>
    <col min="31" max="31" width="18" style="252" customWidth="1"/>
    <col min="32" max="32" width="16.7109375" style="252" customWidth="1"/>
    <col min="33" max="33" width="21.140625" style="252" bestFit="1" customWidth="1"/>
    <col min="34" max="34" width="20.28515625" style="252" customWidth="1"/>
    <col min="35" max="35" width="17.5703125" style="252" customWidth="1"/>
    <col min="36" max="36" width="21.5703125" style="252" bestFit="1" customWidth="1"/>
    <col min="37" max="37" width="21.140625" style="252" customWidth="1"/>
    <col min="38" max="39" width="17.7109375" style="252" customWidth="1"/>
    <col min="40" max="40" width="21.140625" style="252" bestFit="1" customWidth="1"/>
    <col min="41" max="41" width="17.7109375" style="252" customWidth="1"/>
    <col min="42" max="42" width="16.7109375" style="252" customWidth="1"/>
    <col min="43" max="43" width="21.42578125" style="252" bestFit="1" customWidth="1"/>
    <col min="44" max="44" width="16.28515625" style="252" customWidth="1"/>
    <col min="45" max="45" width="19.140625" style="252" customWidth="1"/>
    <col min="46" max="46" width="21.42578125" style="252" bestFit="1" customWidth="1"/>
    <col min="47" max="47" width="16.28515625" style="252" customWidth="1"/>
    <col min="48" max="48" width="16.5703125" style="252" customWidth="1"/>
    <col min="49" max="49" width="21.5703125" style="252" customWidth="1"/>
    <col min="50" max="50" width="20.7109375" style="252" customWidth="1"/>
    <col min="51" max="52" width="16.5703125" style="252" customWidth="1"/>
    <col min="53" max="53" width="21.140625" style="252" bestFit="1" customWidth="1"/>
    <col min="54" max="54" width="15" style="252" customWidth="1"/>
    <col min="55" max="55" width="16.5703125" style="252" customWidth="1"/>
    <col min="56" max="56" width="22.28515625" style="252" customWidth="1"/>
    <col min="57" max="57" width="18.7109375" style="252" customWidth="1"/>
    <col min="58" max="58" width="16.7109375" style="252" customWidth="1"/>
    <col min="59" max="59" width="21.42578125" style="252" bestFit="1" customWidth="1"/>
    <col min="60" max="60" width="18.5703125" style="252" customWidth="1"/>
    <col min="61" max="61" width="16.5703125" style="252" customWidth="1"/>
    <col min="62" max="62" width="18.140625" style="252" customWidth="1"/>
    <col min="63" max="65" width="9.140625" style="252" customWidth="1"/>
    <col min="66" max="272" width="9.140625" style="252"/>
    <col min="273" max="273" width="3.140625" style="252" customWidth="1"/>
    <col min="274" max="274" width="13.42578125" style="252" customWidth="1"/>
    <col min="275" max="275" width="26.28515625" style="252" customWidth="1"/>
    <col min="276" max="277" width="17.7109375" style="252" customWidth="1"/>
    <col min="278" max="278" width="20.7109375" style="252" customWidth="1"/>
    <col min="279" max="280" width="14.7109375" style="252" customWidth="1"/>
    <col min="281" max="281" width="16.42578125" style="252" customWidth="1"/>
    <col min="282" max="283" width="14.7109375" style="252" customWidth="1"/>
    <col min="284" max="284" width="16.7109375" style="252" customWidth="1"/>
    <col min="285" max="286" width="14.7109375" style="252" customWidth="1"/>
    <col min="287" max="287" width="16.7109375" style="252" customWidth="1"/>
    <col min="288" max="289" width="14.7109375" style="252" customWidth="1"/>
    <col min="290" max="290" width="16.140625" style="252" customWidth="1"/>
    <col min="291" max="292" width="14.7109375" style="252" customWidth="1"/>
    <col min="293" max="293" width="15.7109375" style="252" customWidth="1"/>
    <col min="294" max="295" width="14.7109375" style="252" customWidth="1"/>
    <col min="296" max="296" width="16.7109375" style="252" customWidth="1"/>
    <col min="297" max="298" width="14.7109375" style="252" customWidth="1"/>
    <col min="299" max="299" width="17.7109375" style="252" customWidth="1"/>
    <col min="300" max="301" width="14.7109375" style="252" customWidth="1"/>
    <col min="302" max="302" width="16.7109375" style="252" customWidth="1"/>
    <col min="303" max="307" width="14.7109375" style="252" customWidth="1"/>
    <col min="308" max="308" width="16.5703125" style="252" customWidth="1"/>
    <col min="309" max="309" width="14.28515625" style="252" customWidth="1"/>
    <col min="310" max="310" width="15" style="252" customWidth="1"/>
    <col min="311" max="311" width="16.5703125" style="252" customWidth="1"/>
    <col min="312" max="313" width="14.7109375" style="252" customWidth="1"/>
    <col min="314" max="314" width="16.7109375" style="252" customWidth="1"/>
    <col min="315" max="316" width="14.7109375" style="252" customWidth="1"/>
    <col min="317" max="317" width="16.5703125" style="252" customWidth="1"/>
    <col min="318" max="318" width="18.140625" style="252" customWidth="1"/>
    <col min="319" max="528" width="9.140625" style="252"/>
    <col min="529" max="529" width="3.140625" style="252" customWidth="1"/>
    <col min="530" max="530" width="13.42578125" style="252" customWidth="1"/>
    <col min="531" max="531" width="26.28515625" style="252" customWidth="1"/>
    <col min="532" max="533" width="17.7109375" style="252" customWidth="1"/>
    <col min="534" max="534" width="20.7109375" style="252" customWidth="1"/>
    <col min="535" max="536" width="14.7109375" style="252" customWidth="1"/>
    <col min="537" max="537" width="16.42578125" style="252" customWidth="1"/>
    <col min="538" max="539" width="14.7109375" style="252" customWidth="1"/>
    <col min="540" max="540" width="16.7109375" style="252" customWidth="1"/>
    <col min="541" max="542" width="14.7109375" style="252" customWidth="1"/>
    <col min="543" max="543" width="16.7109375" style="252" customWidth="1"/>
    <col min="544" max="545" width="14.7109375" style="252" customWidth="1"/>
    <col min="546" max="546" width="16.140625" style="252" customWidth="1"/>
    <col min="547" max="548" width="14.7109375" style="252" customWidth="1"/>
    <col min="549" max="549" width="15.7109375" style="252" customWidth="1"/>
    <col min="550" max="551" width="14.7109375" style="252" customWidth="1"/>
    <col min="552" max="552" width="16.7109375" style="252" customWidth="1"/>
    <col min="553" max="554" width="14.7109375" style="252" customWidth="1"/>
    <col min="555" max="555" width="17.7109375" style="252" customWidth="1"/>
    <col min="556" max="557" width="14.7109375" style="252" customWidth="1"/>
    <col min="558" max="558" width="16.7109375" style="252" customWidth="1"/>
    <col min="559" max="563" width="14.7109375" style="252" customWidth="1"/>
    <col min="564" max="564" width="16.5703125" style="252" customWidth="1"/>
    <col min="565" max="565" width="14.28515625" style="252" customWidth="1"/>
    <col min="566" max="566" width="15" style="252" customWidth="1"/>
    <col min="567" max="567" width="16.5703125" style="252" customWidth="1"/>
    <col min="568" max="569" width="14.7109375" style="252" customWidth="1"/>
    <col min="570" max="570" width="16.7109375" style="252" customWidth="1"/>
    <col min="571" max="572" width="14.7109375" style="252" customWidth="1"/>
    <col min="573" max="573" width="16.5703125" style="252" customWidth="1"/>
    <col min="574" max="574" width="18.140625" style="252" customWidth="1"/>
    <col min="575" max="784" width="9.140625" style="252"/>
    <col min="785" max="785" width="3.140625" style="252" customWidth="1"/>
    <col min="786" max="786" width="13.42578125" style="252" customWidth="1"/>
    <col min="787" max="787" width="26.28515625" style="252" customWidth="1"/>
    <col min="788" max="789" width="17.7109375" style="252" customWidth="1"/>
    <col min="790" max="790" width="20.7109375" style="252" customWidth="1"/>
    <col min="791" max="792" width="14.7109375" style="252" customWidth="1"/>
    <col min="793" max="793" width="16.42578125" style="252" customWidth="1"/>
    <col min="794" max="795" width="14.7109375" style="252" customWidth="1"/>
    <col min="796" max="796" width="16.7109375" style="252" customWidth="1"/>
    <col min="797" max="798" width="14.7109375" style="252" customWidth="1"/>
    <col min="799" max="799" width="16.7109375" style="252" customWidth="1"/>
    <col min="800" max="801" width="14.7109375" style="252" customWidth="1"/>
    <col min="802" max="802" width="16.140625" style="252" customWidth="1"/>
    <col min="803" max="804" width="14.7109375" style="252" customWidth="1"/>
    <col min="805" max="805" width="15.7109375" style="252" customWidth="1"/>
    <col min="806" max="807" width="14.7109375" style="252" customWidth="1"/>
    <col min="808" max="808" width="16.7109375" style="252" customWidth="1"/>
    <col min="809" max="810" width="14.7109375" style="252" customWidth="1"/>
    <col min="811" max="811" width="17.7109375" style="252" customWidth="1"/>
    <col min="812" max="813" width="14.7109375" style="252" customWidth="1"/>
    <col min="814" max="814" width="16.7109375" style="252" customWidth="1"/>
    <col min="815" max="819" width="14.7109375" style="252" customWidth="1"/>
    <col min="820" max="820" width="16.5703125" style="252" customWidth="1"/>
    <col min="821" max="821" width="14.28515625" style="252" customWidth="1"/>
    <col min="822" max="822" width="15" style="252" customWidth="1"/>
    <col min="823" max="823" width="16.5703125" style="252" customWidth="1"/>
    <col min="824" max="825" width="14.7109375" style="252" customWidth="1"/>
    <col min="826" max="826" width="16.7109375" style="252" customWidth="1"/>
    <col min="827" max="828" width="14.7109375" style="252" customWidth="1"/>
    <col min="829" max="829" width="16.5703125" style="252" customWidth="1"/>
    <col min="830" max="830" width="18.140625" style="252" customWidth="1"/>
    <col min="831" max="1040" width="9.140625" style="252"/>
    <col min="1041" max="1041" width="3.140625" style="252" customWidth="1"/>
    <col min="1042" max="1042" width="13.42578125" style="252" customWidth="1"/>
    <col min="1043" max="1043" width="26.28515625" style="252" customWidth="1"/>
    <col min="1044" max="1045" width="17.7109375" style="252" customWidth="1"/>
    <col min="1046" max="1046" width="20.7109375" style="252" customWidth="1"/>
    <col min="1047" max="1048" width="14.7109375" style="252" customWidth="1"/>
    <col min="1049" max="1049" width="16.42578125" style="252" customWidth="1"/>
    <col min="1050" max="1051" width="14.7109375" style="252" customWidth="1"/>
    <col min="1052" max="1052" width="16.7109375" style="252" customWidth="1"/>
    <col min="1053" max="1054" width="14.7109375" style="252" customWidth="1"/>
    <col min="1055" max="1055" width="16.7109375" style="252" customWidth="1"/>
    <col min="1056" max="1057" width="14.7109375" style="252" customWidth="1"/>
    <col min="1058" max="1058" width="16.140625" style="252" customWidth="1"/>
    <col min="1059" max="1060" width="14.7109375" style="252" customWidth="1"/>
    <col min="1061" max="1061" width="15.7109375" style="252" customWidth="1"/>
    <col min="1062" max="1063" width="14.7109375" style="252" customWidth="1"/>
    <col min="1064" max="1064" width="16.7109375" style="252" customWidth="1"/>
    <col min="1065" max="1066" width="14.7109375" style="252" customWidth="1"/>
    <col min="1067" max="1067" width="17.7109375" style="252" customWidth="1"/>
    <col min="1068" max="1069" width="14.7109375" style="252" customWidth="1"/>
    <col min="1070" max="1070" width="16.7109375" style="252" customWidth="1"/>
    <col min="1071" max="1075" width="14.7109375" style="252" customWidth="1"/>
    <col min="1076" max="1076" width="16.5703125" style="252" customWidth="1"/>
    <col min="1077" max="1077" width="14.28515625" style="252" customWidth="1"/>
    <col min="1078" max="1078" width="15" style="252" customWidth="1"/>
    <col min="1079" max="1079" width="16.5703125" style="252" customWidth="1"/>
    <col min="1080" max="1081" width="14.7109375" style="252" customWidth="1"/>
    <col min="1082" max="1082" width="16.7109375" style="252" customWidth="1"/>
    <col min="1083" max="1084" width="14.7109375" style="252" customWidth="1"/>
    <col min="1085" max="1085" width="16.5703125" style="252" customWidth="1"/>
    <col min="1086" max="1086" width="18.140625" style="252" customWidth="1"/>
    <col min="1087" max="1296" width="9.140625" style="252"/>
    <col min="1297" max="1297" width="3.140625" style="252" customWidth="1"/>
    <col min="1298" max="1298" width="13.42578125" style="252" customWidth="1"/>
    <col min="1299" max="1299" width="26.28515625" style="252" customWidth="1"/>
    <col min="1300" max="1301" width="17.7109375" style="252" customWidth="1"/>
    <col min="1302" max="1302" width="20.7109375" style="252" customWidth="1"/>
    <col min="1303" max="1304" width="14.7109375" style="252" customWidth="1"/>
    <col min="1305" max="1305" width="16.42578125" style="252" customWidth="1"/>
    <col min="1306" max="1307" width="14.7109375" style="252" customWidth="1"/>
    <col min="1308" max="1308" width="16.7109375" style="252" customWidth="1"/>
    <col min="1309" max="1310" width="14.7109375" style="252" customWidth="1"/>
    <col min="1311" max="1311" width="16.7109375" style="252" customWidth="1"/>
    <col min="1312" max="1313" width="14.7109375" style="252" customWidth="1"/>
    <col min="1314" max="1314" width="16.140625" style="252" customWidth="1"/>
    <col min="1315" max="1316" width="14.7109375" style="252" customWidth="1"/>
    <col min="1317" max="1317" width="15.7109375" style="252" customWidth="1"/>
    <col min="1318" max="1319" width="14.7109375" style="252" customWidth="1"/>
    <col min="1320" max="1320" width="16.7109375" style="252" customWidth="1"/>
    <col min="1321" max="1322" width="14.7109375" style="252" customWidth="1"/>
    <col min="1323" max="1323" width="17.7109375" style="252" customWidth="1"/>
    <col min="1324" max="1325" width="14.7109375" style="252" customWidth="1"/>
    <col min="1326" max="1326" width="16.7109375" style="252" customWidth="1"/>
    <col min="1327" max="1331" width="14.7109375" style="252" customWidth="1"/>
    <col min="1332" max="1332" width="16.5703125" style="252" customWidth="1"/>
    <col min="1333" max="1333" width="14.28515625" style="252" customWidth="1"/>
    <col min="1334" max="1334" width="15" style="252" customWidth="1"/>
    <col min="1335" max="1335" width="16.5703125" style="252" customWidth="1"/>
    <col min="1336" max="1337" width="14.7109375" style="252" customWidth="1"/>
    <col min="1338" max="1338" width="16.7109375" style="252" customWidth="1"/>
    <col min="1339" max="1340" width="14.7109375" style="252" customWidth="1"/>
    <col min="1341" max="1341" width="16.5703125" style="252" customWidth="1"/>
    <col min="1342" max="1342" width="18.140625" style="252" customWidth="1"/>
    <col min="1343" max="1552" width="9.140625" style="252"/>
    <col min="1553" max="1553" width="3.140625" style="252" customWidth="1"/>
    <col min="1554" max="1554" width="13.42578125" style="252" customWidth="1"/>
    <col min="1555" max="1555" width="26.28515625" style="252" customWidth="1"/>
    <col min="1556" max="1557" width="17.7109375" style="252" customWidth="1"/>
    <col min="1558" max="1558" width="20.7109375" style="252" customWidth="1"/>
    <col min="1559" max="1560" width="14.7109375" style="252" customWidth="1"/>
    <col min="1561" max="1561" width="16.42578125" style="252" customWidth="1"/>
    <col min="1562" max="1563" width="14.7109375" style="252" customWidth="1"/>
    <col min="1564" max="1564" width="16.7109375" style="252" customWidth="1"/>
    <col min="1565" max="1566" width="14.7109375" style="252" customWidth="1"/>
    <col min="1567" max="1567" width="16.7109375" style="252" customWidth="1"/>
    <col min="1568" max="1569" width="14.7109375" style="252" customWidth="1"/>
    <col min="1570" max="1570" width="16.140625" style="252" customWidth="1"/>
    <col min="1571" max="1572" width="14.7109375" style="252" customWidth="1"/>
    <col min="1573" max="1573" width="15.7109375" style="252" customWidth="1"/>
    <col min="1574" max="1575" width="14.7109375" style="252" customWidth="1"/>
    <col min="1576" max="1576" width="16.7109375" style="252" customWidth="1"/>
    <col min="1577" max="1578" width="14.7109375" style="252" customWidth="1"/>
    <col min="1579" max="1579" width="17.7109375" style="252" customWidth="1"/>
    <col min="1580" max="1581" width="14.7109375" style="252" customWidth="1"/>
    <col min="1582" max="1582" width="16.7109375" style="252" customWidth="1"/>
    <col min="1583" max="1587" width="14.7109375" style="252" customWidth="1"/>
    <col min="1588" max="1588" width="16.5703125" style="252" customWidth="1"/>
    <col min="1589" max="1589" width="14.28515625" style="252" customWidth="1"/>
    <col min="1590" max="1590" width="15" style="252" customWidth="1"/>
    <col min="1591" max="1591" width="16.5703125" style="252" customWidth="1"/>
    <col min="1592" max="1593" width="14.7109375" style="252" customWidth="1"/>
    <col min="1594" max="1594" width="16.7109375" style="252" customWidth="1"/>
    <col min="1595" max="1596" width="14.7109375" style="252" customWidth="1"/>
    <col min="1597" max="1597" width="16.5703125" style="252" customWidth="1"/>
    <col min="1598" max="1598" width="18.140625" style="252" customWidth="1"/>
    <col min="1599" max="1808" width="9.140625" style="252"/>
    <col min="1809" max="1809" width="3.140625" style="252" customWidth="1"/>
    <col min="1810" max="1810" width="13.42578125" style="252" customWidth="1"/>
    <col min="1811" max="1811" width="26.28515625" style="252" customWidth="1"/>
    <col min="1812" max="1813" width="17.7109375" style="252" customWidth="1"/>
    <col min="1814" max="1814" width="20.7109375" style="252" customWidth="1"/>
    <col min="1815" max="1816" width="14.7109375" style="252" customWidth="1"/>
    <col min="1817" max="1817" width="16.42578125" style="252" customWidth="1"/>
    <col min="1818" max="1819" width="14.7109375" style="252" customWidth="1"/>
    <col min="1820" max="1820" width="16.7109375" style="252" customWidth="1"/>
    <col min="1821" max="1822" width="14.7109375" style="252" customWidth="1"/>
    <col min="1823" max="1823" width="16.7109375" style="252" customWidth="1"/>
    <col min="1824" max="1825" width="14.7109375" style="252" customWidth="1"/>
    <col min="1826" max="1826" width="16.140625" style="252" customWidth="1"/>
    <col min="1827" max="1828" width="14.7109375" style="252" customWidth="1"/>
    <col min="1829" max="1829" width="15.7109375" style="252" customWidth="1"/>
    <col min="1830" max="1831" width="14.7109375" style="252" customWidth="1"/>
    <col min="1832" max="1832" width="16.7109375" style="252" customWidth="1"/>
    <col min="1833" max="1834" width="14.7109375" style="252" customWidth="1"/>
    <col min="1835" max="1835" width="17.7109375" style="252" customWidth="1"/>
    <col min="1836" max="1837" width="14.7109375" style="252" customWidth="1"/>
    <col min="1838" max="1838" width="16.7109375" style="252" customWidth="1"/>
    <col min="1839" max="1843" width="14.7109375" style="252" customWidth="1"/>
    <col min="1844" max="1844" width="16.5703125" style="252" customWidth="1"/>
    <col min="1845" max="1845" width="14.28515625" style="252" customWidth="1"/>
    <col min="1846" max="1846" width="15" style="252" customWidth="1"/>
    <col min="1847" max="1847" width="16.5703125" style="252" customWidth="1"/>
    <col min="1848" max="1849" width="14.7109375" style="252" customWidth="1"/>
    <col min="1850" max="1850" width="16.7109375" style="252" customWidth="1"/>
    <col min="1851" max="1852" width="14.7109375" style="252" customWidth="1"/>
    <col min="1853" max="1853" width="16.5703125" style="252" customWidth="1"/>
    <col min="1854" max="1854" width="18.140625" style="252" customWidth="1"/>
    <col min="1855" max="2064" width="9.140625" style="252"/>
    <col min="2065" max="2065" width="3.140625" style="252" customWidth="1"/>
    <col min="2066" max="2066" width="13.42578125" style="252" customWidth="1"/>
    <col min="2067" max="2067" width="26.28515625" style="252" customWidth="1"/>
    <col min="2068" max="2069" width="17.7109375" style="252" customWidth="1"/>
    <col min="2070" max="2070" width="20.7109375" style="252" customWidth="1"/>
    <col min="2071" max="2072" width="14.7109375" style="252" customWidth="1"/>
    <col min="2073" max="2073" width="16.42578125" style="252" customWidth="1"/>
    <col min="2074" max="2075" width="14.7109375" style="252" customWidth="1"/>
    <col min="2076" max="2076" width="16.7109375" style="252" customWidth="1"/>
    <col min="2077" max="2078" width="14.7109375" style="252" customWidth="1"/>
    <col min="2079" max="2079" width="16.7109375" style="252" customWidth="1"/>
    <col min="2080" max="2081" width="14.7109375" style="252" customWidth="1"/>
    <col min="2082" max="2082" width="16.140625" style="252" customWidth="1"/>
    <col min="2083" max="2084" width="14.7109375" style="252" customWidth="1"/>
    <col min="2085" max="2085" width="15.7109375" style="252" customWidth="1"/>
    <col min="2086" max="2087" width="14.7109375" style="252" customWidth="1"/>
    <col min="2088" max="2088" width="16.7109375" style="252" customWidth="1"/>
    <col min="2089" max="2090" width="14.7109375" style="252" customWidth="1"/>
    <col min="2091" max="2091" width="17.7109375" style="252" customWidth="1"/>
    <col min="2092" max="2093" width="14.7109375" style="252" customWidth="1"/>
    <col min="2094" max="2094" width="16.7109375" style="252" customWidth="1"/>
    <col min="2095" max="2099" width="14.7109375" style="252" customWidth="1"/>
    <col min="2100" max="2100" width="16.5703125" style="252" customWidth="1"/>
    <col min="2101" max="2101" width="14.28515625" style="252" customWidth="1"/>
    <col min="2102" max="2102" width="15" style="252" customWidth="1"/>
    <col min="2103" max="2103" width="16.5703125" style="252" customWidth="1"/>
    <col min="2104" max="2105" width="14.7109375" style="252" customWidth="1"/>
    <col min="2106" max="2106" width="16.7109375" style="252" customWidth="1"/>
    <col min="2107" max="2108" width="14.7109375" style="252" customWidth="1"/>
    <col min="2109" max="2109" width="16.5703125" style="252" customWidth="1"/>
    <col min="2110" max="2110" width="18.140625" style="252" customWidth="1"/>
    <col min="2111" max="2320" width="9.140625" style="252"/>
    <col min="2321" max="2321" width="3.140625" style="252" customWidth="1"/>
    <col min="2322" max="2322" width="13.42578125" style="252" customWidth="1"/>
    <col min="2323" max="2323" width="26.28515625" style="252" customWidth="1"/>
    <col min="2324" max="2325" width="17.7109375" style="252" customWidth="1"/>
    <col min="2326" max="2326" width="20.7109375" style="252" customWidth="1"/>
    <col min="2327" max="2328" width="14.7109375" style="252" customWidth="1"/>
    <col min="2329" max="2329" width="16.42578125" style="252" customWidth="1"/>
    <col min="2330" max="2331" width="14.7109375" style="252" customWidth="1"/>
    <col min="2332" max="2332" width="16.7109375" style="252" customWidth="1"/>
    <col min="2333" max="2334" width="14.7109375" style="252" customWidth="1"/>
    <col min="2335" max="2335" width="16.7109375" style="252" customWidth="1"/>
    <col min="2336" max="2337" width="14.7109375" style="252" customWidth="1"/>
    <col min="2338" max="2338" width="16.140625" style="252" customWidth="1"/>
    <col min="2339" max="2340" width="14.7109375" style="252" customWidth="1"/>
    <col min="2341" max="2341" width="15.7109375" style="252" customWidth="1"/>
    <col min="2342" max="2343" width="14.7109375" style="252" customWidth="1"/>
    <col min="2344" max="2344" width="16.7109375" style="252" customWidth="1"/>
    <col min="2345" max="2346" width="14.7109375" style="252" customWidth="1"/>
    <col min="2347" max="2347" width="17.7109375" style="252" customWidth="1"/>
    <col min="2348" max="2349" width="14.7109375" style="252" customWidth="1"/>
    <col min="2350" max="2350" width="16.7109375" style="252" customWidth="1"/>
    <col min="2351" max="2355" width="14.7109375" style="252" customWidth="1"/>
    <col min="2356" max="2356" width="16.5703125" style="252" customWidth="1"/>
    <col min="2357" max="2357" width="14.28515625" style="252" customWidth="1"/>
    <col min="2358" max="2358" width="15" style="252" customWidth="1"/>
    <col min="2359" max="2359" width="16.5703125" style="252" customWidth="1"/>
    <col min="2360" max="2361" width="14.7109375" style="252" customWidth="1"/>
    <col min="2362" max="2362" width="16.7109375" style="252" customWidth="1"/>
    <col min="2363" max="2364" width="14.7109375" style="252" customWidth="1"/>
    <col min="2365" max="2365" width="16.5703125" style="252" customWidth="1"/>
    <col min="2366" max="2366" width="18.140625" style="252" customWidth="1"/>
    <col min="2367" max="2576" width="9.140625" style="252"/>
    <col min="2577" max="2577" width="3.140625" style="252" customWidth="1"/>
    <col min="2578" max="2578" width="13.42578125" style="252" customWidth="1"/>
    <col min="2579" max="2579" width="26.28515625" style="252" customWidth="1"/>
    <col min="2580" max="2581" width="17.7109375" style="252" customWidth="1"/>
    <col min="2582" max="2582" width="20.7109375" style="252" customWidth="1"/>
    <col min="2583" max="2584" width="14.7109375" style="252" customWidth="1"/>
    <col min="2585" max="2585" width="16.42578125" style="252" customWidth="1"/>
    <col min="2586" max="2587" width="14.7109375" style="252" customWidth="1"/>
    <col min="2588" max="2588" width="16.7109375" style="252" customWidth="1"/>
    <col min="2589" max="2590" width="14.7109375" style="252" customWidth="1"/>
    <col min="2591" max="2591" width="16.7109375" style="252" customWidth="1"/>
    <col min="2592" max="2593" width="14.7109375" style="252" customWidth="1"/>
    <col min="2594" max="2594" width="16.140625" style="252" customWidth="1"/>
    <col min="2595" max="2596" width="14.7109375" style="252" customWidth="1"/>
    <col min="2597" max="2597" width="15.7109375" style="252" customWidth="1"/>
    <col min="2598" max="2599" width="14.7109375" style="252" customWidth="1"/>
    <col min="2600" max="2600" width="16.7109375" style="252" customWidth="1"/>
    <col min="2601" max="2602" width="14.7109375" style="252" customWidth="1"/>
    <col min="2603" max="2603" width="17.7109375" style="252" customWidth="1"/>
    <col min="2604" max="2605" width="14.7109375" style="252" customWidth="1"/>
    <col min="2606" max="2606" width="16.7109375" style="252" customWidth="1"/>
    <col min="2607" max="2611" width="14.7109375" style="252" customWidth="1"/>
    <col min="2612" max="2612" width="16.5703125" style="252" customWidth="1"/>
    <col min="2613" max="2613" width="14.28515625" style="252" customWidth="1"/>
    <col min="2614" max="2614" width="15" style="252" customWidth="1"/>
    <col min="2615" max="2615" width="16.5703125" style="252" customWidth="1"/>
    <col min="2616" max="2617" width="14.7109375" style="252" customWidth="1"/>
    <col min="2618" max="2618" width="16.7109375" style="252" customWidth="1"/>
    <col min="2619" max="2620" width="14.7109375" style="252" customWidth="1"/>
    <col min="2621" max="2621" width="16.5703125" style="252" customWidth="1"/>
    <col min="2622" max="2622" width="18.140625" style="252" customWidth="1"/>
    <col min="2623" max="2832" width="9.140625" style="252"/>
    <col min="2833" max="2833" width="3.140625" style="252" customWidth="1"/>
    <col min="2834" max="2834" width="13.42578125" style="252" customWidth="1"/>
    <col min="2835" max="2835" width="26.28515625" style="252" customWidth="1"/>
    <col min="2836" max="2837" width="17.7109375" style="252" customWidth="1"/>
    <col min="2838" max="2838" width="20.7109375" style="252" customWidth="1"/>
    <col min="2839" max="2840" width="14.7109375" style="252" customWidth="1"/>
    <col min="2841" max="2841" width="16.42578125" style="252" customWidth="1"/>
    <col min="2842" max="2843" width="14.7109375" style="252" customWidth="1"/>
    <col min="2844" max="2844" width="16.7109375" style="252" customWidth="1"/>
    <col min="2845" max="2846" width="14.7109375" style="252" customWidth="1"/>
    <col min="2847" max="2847" width="16.7109375" style="252" customWidth="1"/>
    <col min="2848" max="2849" width="14.7109375" style="252" customWidth="1"/>
    <col min="2850" max="2850" width="16.140625" style="252" customWidth="1"/>
    <col min="2851" max="2852" width="14.7109375" style="252" customWidth="1"/>
    <col min="2853" max="2853" width="15.7109375" style="252" customWidth="1"/>
    <col min="2854" max="2855" width="14.7109375" style="252" customWidth="1"/>
    <col min="2856" max="2856" width="16.7109375" style="252" customWidth="1"/>
    <col min="2857" max="2858" width="14.7109375" style="252" customWidth="1"/>
    <col min="2859" max="2859" width="17.7109375" style="252" customWidth="1"/>
    <col min="2860" max="2861" width="14.7109375" style="252" customWidth="1"/>
    <col min="2862" max="2862" width="16.7109375" style="252" customWidth="1"/>
    <col min="2863" max="2867" width="14.7109375" style="252" customWidth="1"/>
    <col min="2868" max="2868" width="16.5703125" style="252" customWidth="1"/>
    <col min="2869" max="2869" width="14.28515625" style="252" customWidth="1"/>
    <col min="2870" max="2870" width="15" style="252" customWidth="1"/>
    <col min="2871" max="2871" width="16.5703125" style="252" customWidth="1"/>
    <col min="2872" max="2873" width="14.7109375" style="252" customWidth="1"/>
    <col min="2874" max="2874" width="16.7109375" style="252" customWidth="1"/>
    <col min="2875" max="2876" width="14.7109375" style="252" customWidth="1"/>
    <col min="2877" max="2877" width="16.5703125" style="252" customWidth="1"/>
    <col min="2878" max="2878" width="18.140625" style="252" customWidth="1"/>
    <col min="2879" max="3088" width="9.140625" style="252"/>
    <col min="3089" max="3089" width="3.140625" style="252" customWidth="1"/>
    <col min="3090" max="3090" width="13.42578125" style="252" customWidth="1"/>
    <col min="3091" max="3091" width="26.28515625" style="252" customWidth="1"/>
    <col min="3092" max="3093" width="17.7109375" style="252" customWidth="1"/>
    <col min="3094" max="3094" width="20.7109375" style="252" customWidth="1"/>
    <col min="3095" max="3096" width="14.7109375" style="252" customWidth="1"/>
    <col min="3097" max="3097" width="16.42578125" style="252" customWidth="1"/>
    <col min="3098" max="3099" width="14.7109375" style="252" customWidth="1"/>
    <col min="3100" max="3100" width="16.7109375" style="252" customWidth="1"/>
    <col min="3101" max="3102" width="14.7109375" style="252" customWidth="1"/>
    <col min="3103" max="3103" width="16.7109375" style="252" customWidth="1"/>
    <col min="3104" max="3105" width="14.7109375" style="252" customWidth="1"/>
    <col min="3106" max="3106" width="16.140625" style="252" customWidth="1"/>
    <col min="3107" max="3108" width="14.7109375" style="252" customWidth="1"/>
    <col min="3109" max="3109" width="15.7109375" style="252" customWidth="1"/>
    <col min="3110" max="3111" width="14.7109375" style="252" customWidth="1"/>
    <col min="3112" max="3112" width="16.7109375" style="252" customWidth="1"/>
    <col min="3113" max="3114" width="14.7109375" style="252" customWidth="1"/>
    <col min="3115" max="3115" width="17.7109375" style="252" customWidth="1"/>
    <col min="3116" max="3117" width="14.7109375" style="252" customWidth="1"/>
    <col min="3118" max="3118" width="16.7109375" style="252" customWidth="1"/>
    <col min="3119" max="3123" width="14.7109375" style="252" customWidth="1"/>
    <col min="3124" max="3124" width="16.5703125" style="252" customWidth="1"/>
    <col min="3125" max="3125" width="14.28515625" style="252" customWidth="1"/>
    <col min="3126" max="3126" width="15" style="252" customWidth="1"/>
    <col min="3127" max="3127" width="16.5703125" style="252" customWidth="1"/>
    <col min="3128" max="3129" width="14.7109375" style="252" customWidth="1"/>
    <col min="3130" max="3130" width="16.7109375" style="252" customWidth="1"/>
    <col min="3131" max="3132" width="14.7109375" style="252" customWidth="1"/>
    <col min="3133" max="3133" width="16.5703125" style="252" customWidth="1"/>
    <col min="3134" max="3134" width="18.140625" style="252" customWidth="1"/>
    <col min="3135" max="3344" width="9.140625" style="252"/>
    <col min="3345" max="3345" width="3.140625" style="252" customWidth="1"/>
    <col min="3346" max="3346" width="13.42578125" style="252" customWidth="1"/>
    <col min="3347" max="3347" width="26.28515625" style="252" customWidth="1"/>
    <col min="3348" max="3349" width="17.7109375" style="252" customWidth="1"/>
    <col min="3350" max="3350" width="20.7109375" style="252" customWidth="1"/>
    <col min="3351" max="3352" width="14.7109375" style="252" customWidth="1"/>
    <col min="3353" max="3353" width="16.42578125" style="252" customWidth="1"/>
    <col min="3354" max="3355" width="14.7109375" style="252" customWidth="1"/>
    <col min="3356" max="3356" width="16.7109375" style="252" customWidth="1"/>
    <col min="3357" max="3358" width="14.7109375" style="252" customWidth="1"/>
    <col min="3359" max="3359" width="16.7109375" style="252" customWidth="1"/>
    <col min="3360" max="3361" width="14.7109375" style="252" customWidth="1"/>
    <col min="3362" max="3362" width="16.140625" style="252" customWidth="1"/>
    <col min="3363" max="3364" width="14.7109375" style="252" customWidth="1"/>
    <col min="3365" max="3365" width="15.7109375" style="252" customWidth="1"/>
    <col min="3366" max="3367" width="14.7109375" style="252" customWidth="1"/>
    <col min="3368" max="3368" width="16.7109375" style="252" customWidth="1"/>
    <col min="3369" max="3370" width="14.7109375" style="252" customWidth="1"/>
    <col min="3371" max="3371" width="17.7109375" style="252" customWidth="1"/>
    <col min="3372" max="3373" width="14.7109375" style="252" customWidth="1"/>
    <col min="3374" max="3374" width="16.7109375" style="252" customWidth="1"/>
    <col min="3375" max="3379" width="14.7109375" style="252" customWidth="1"/>
    <col min="3380" max="3380" width="16.5703125" style="252" customWidth="1"/>
    <col min="3381" max="3381" width="14.28515625" style="252" customWidth="1"/>
    <col min="3382" max="3382" width="15" style="252" customWidth="1"/>
    <col min="3383" max="3383" width="16.5703125" style="252" customWidth="1"/>
    <col min="3384" max="3385" width="14.7109375" style="252" customWidth="1"/>
    <col min="3386" max="3386" width="16.7109375" style="252" customWidth="1"/>
    <col min="3387" max="3388" width="14.7109375" style="252" customWidth="1"/>
    <col min="3389" max="3389" width="16.5703125" style="252" customWidth="1"/>
    <col min="3390" max="3390" width="18.140625" style="252" customWidth="1"/>
    <col min="3391" max="3600" width="9.140625" style="252"/>
    <col min="3601" max="3601" width="3.140625" style="252" customWidth="1"/>
    <col min="3602" max="3602" width="13.42578125" style="252" customWidth="1"/>
    <col min="3603" max="3603" width="26.28515625" style="252" customWidth="1"/>
    <col min="3604" max="3605" width="17.7109375" style="252" customWidth="1"/>
    <col min="3606" max="3606" width="20.7109375" style="252" customWidth="1"/>
    <col min="3607" max="3608" width="14.7109375" style="252" customWidth="1"/>
    <col min="3609" max="3609" width="16.42578125" style="252" customWidth="1"/>
    <col min="3610" max="3611" width="14.7109375" style="252" customWidth="1"/>
    <col min="3612" max="3612" width="16.7109375" style="252" customWidth="1"/>
    <col min="3613" max="3614" width="14.7109375" style="252" customWidth="1"/>
    <col min="3615" max="3615" width="16.7109375" style="252" customWidth="1"/>
    <col min="3616" max="3617" width="14.7109375" style="252" customWidth="1"/>
    <col min="3618" max="3618" width="16.140625" style="252" customWidth="1"/>
    <col min="3619" max="3620" width="14.7109375" style="252" customWidth="1"/>
    <col min="3621" max="3621" width="15.7109375" style="252" customWidth="1"/>
    <col min="3622" max="3623" width="14.7109375" style="252" customWidth="1"/>
    <col min="3624" max="3624" width="16.7109375" style="252" customWidth="1"/>
    <col min="3625" max="3626" width="14.7109375" style="252" customWidth="1"/>
    <col min="3627" max="3627" width="17.7109375" style="252" customWidth="1"/>
    <col min="3628" max="3629" width="14.7109375" style="252" customWidth="1"/>
    <col min="3630" max="3630" width="16.7109375" style="252" customWidth="1"/>
    <col min="3631" max="3635" width="14.7109375" style="252" customWidth="1"/>
    <col min="3636" max="3636" width="16.5703125" style="252" customWidth="1"/>
    <col min="3637" max="3637" width="14.28515625" style="252" customWidth="1"/>
    <col min="3638" max="3638" width="15" style="252" customWidth="1"/>
    <col min="3639" max="3639" width="16.5703125" style="252" customWidth="1"/>
    <col min="3640" max="3641" width="14.7109375" style="252" customWidth="1"/>
    <col min="3642" max="3642" width="16.7109375" style="252" customWidth="1"/>
    <col min="3643" max="3644" width="14.7109375" style="252" customWidth="1"/>
    <col min="3645" max="3645" width="16.5703125" style="252" customWidth="1"/>
    <col min="3646" max="3646" width="18.140625" style="252" customWidth="1"/>
    <col min="3647" max="3856" width="9.140625" style="252"/>
    <col min="3857" max="3857" width="3.140625" style="252" customWidth="1"/>
    <col min="3858" max="3858" width="13.42578125" style="252" customWidth="1"/>
    <col min="3859" max="3859" width="26.28515625" style="252" customWidth="1"/>
    <col min="3860" max="3861" width="17.7109375" style="252" customWidth="1"/>
    <col min="3862" max="3862" width="20.7109375" style="252" customWidth="1"/>
    <col min="3863" max="3864" width="14.7109375" style="252" customWidth="1"/>
    <col min="3865" max="3865" width="16.42578125" style="252" customWidth="1"/>
    <col min="3866" max="3867" width="14.7109375" style="252" customWidth="1"/>
    <col min="3868" max="3868" width="16.7109375" style="252" customWidth="1"/>
    <col min="3869" max="3870" width="14.7109375" style="252" customWidth="1"/>
    <col min="3871" max="3871" width="16.7109375" style="252" customWidth="1"/>
    <col min="3872" max="3873" width="14.7109375" style="252" customWidth="1"/>
    <col min="3874" max="3874" width="16.140625" style="252" customWidth="1"/>
    <col min="3875" max="3876" width="14.7109375" style="252" customWidth="1"/>
    <col min="3877" max="3877" width="15.7109375" style="252" customWidth="1"/>
    <col min="3878" max="3879" width="14.7109375" style="252" customWidth="1"/>
    <col min="3880" max="3880" width="16.7109375" style="252" customWidth="1"/>
    <col min="3881" max="3882" width="14.7109375" style="252" customWidth="1"/>
    <col min="3883" max="3883" width="17.7109375" style="252" customWidth="1"/>
    <col min="3884" max="3885" width="14.7109375" style="252" customWidth="1"/>
    <col min="3886" max="3886" width="16.7109375" style="252" customWidth="1"/>
    <col min="3887" max="3891" width="14.7109375" style="252" customWidth="1"/>
    <col min="3892" max="3892" width="16.5703125" style="252" customWidth="1"/>
    <col min="3893" max="3893" width="14.28515625" style="252" customWidth="1"/>
    <col min="3894" max="3894" width="15" style="252" customWidth="1"/>
    <col min="3895" max="3895" width="16.5703125" style="252" customWidth="1"/>
    <col min="3896" max="3897" width="14.7109375" style="252" customWidth="1"/>
    <col min="3898" max="3898" width="16.7109375" style="252" customWidth="1"/>
    <col min="3899" max="3900" width="14.7109375" style="252" customWidth="1"/>
    <col min="3901" max="3901" width="16.5703125" style="252" customWidth="1"/>
    <col min="3902" max="3902" width="18.140625" style="252" customWidth="1"/>
    <col min="3903" max="4112" width="9.140625" style="252"/>
    <col min="4113" max="4113" width="3.140625" style="252" customWidth="1"/>
    <col min="4114" max="4114" width="13.42578125" style="252" customWidth="1"/>
    <col min="4115" max="4115" width="26.28515625" style="252" customWidth="1"/>
    <col min="4116" max="4117" width="17.7109375" style="252" customWidth="1"/>
    <col min="4118" max="4118" width="20.7109375" style="252" customWidth="1"/>
    <col min="4119" max="4120" width="14.7109375" style="252" customWidth="1"/>
    <col min="4121" max="4121" width="16.42578125" style="252" customWidth="1"/>
    <col min="4122" max="4123" width="14.7109375" style="252" customWidth="1"/>
    <col min="4124" max="4124" width="16.7109375" style="252" customWidth="1"/>
    <col min="4125" max="4126" width="14.7109375" style="252" customWidth="1"/>
    <col min="4127" max="4127" width="16.7109375" style="252" customWidth="1"/>
    <col min="4128" max="4129" width="14.7109375" style="252" customWidth="1"/>
    <col min="4130" max="4130" width="16.140625" style="252" customWidth="1"/>
    <col min="4131" max="4132" width="14.7109375" style="252" customWidth="1"/>
    <col min="4133" max="4133" width="15.7109375" style="252" customWidth="1"/>
    <col min="4134" max="4135" width="14.7109375" style="252" customWidth="1"/>
    <col min="4136" max="4136" width="16.7109375" style="252" customWidth="1"/>
    <col min="4137" max="4138" width="14.7109375" style="252" customWidth="1"/>
    <col min="4139" max="4139" width="17.7109375" style="252" customWidth="1"/>
    <col min="4140" max="4141" width="14.7109375" style="252" customWidth="1"/>
    <col min="4142" max="4142" width="16.7109375" style="252" customWidth="1"/>
    <col min="4143" max="4147" width="14.7109375" style="252" customWidth="1"/>
    <col min="4148" max="4148" width="16.5703125" style="252" customWidth="1"/>
    <col min="4149" max="4149" width="14.28515625" style="252" customWidth="1"/>
    <col min="4150" max="4150" width="15" style="252" customWidth="1"/>
    <col min="4151" max="4151" width="16.5703125" style="252" customWidth="1"/>
    <col min="4152" max="4153" width="14.7109375" style="252" customWidth="1"/>
    <col min="4154" max="4154" width="16.7109375" style="252" customWidth="1"/>
    <col min="4155" max="4156" width="14.7109375" style="252" customWidth="1"/>
    <col min="4157" max="4157" width="16.5703125" style="252" customWidth="1"/>
    <col min="4158" max="4158" width="18.140625" style="252" customWidth="1"/>
    <col min="4159" max="4368" width="9.140625" style="252"/>
    <col min="4369" max="4369" width="3.140625" style="252" customWidth="1"/>
    <col min="4370" max="4370" width="13.42578125" style="252" customWidth="1"/>
    <col min="4371" max="4371" width="26.28515625" style="252" customWidth="1"/>
    <col min="4372" max="4373" width="17.7109375" style="252" customWidth="1"/>
    <col min="4374" max="4374" width="20.7109375" style="252" customWidth="1"/>
    <col min="4375" max="4376" width="14.7109375" style="252" customWidth="1"/>
    <col min="4377" max="4377" width="16.42578125" style="252" customWidth="1"/>
    <col min="4378" max="4379" width="14.7109375" style="252" customWidth="1"/>
    <col min="4380" max="4380" width="16.7109375" style="252" customWidth="1"/>
    <col min="4381" max="4382" width="14.7109375" style="252" customWidth="1"/>
    <col min="4383" max="4383" width="16.7109375" style="252" customWidth="1"/>
    <col min="4384" max="4385" width="14.7109375" style="252" customWidth="1"/>
    <col min="4386" max="4386" width="16.140625" style="252" customWidth="1"/>
    <col min="4387" max="4388" width="14.7109375" style="252" customWidth="1"/>
    <col min="4389" max="4389" width="15.7109375" style="252" customWidth="1"/>
    <col min="4390" max="4391" width="14.7109375" style="252" customWidth="1"/>
    <col min="4392" max="4392" width="16.7109375" style="252" customWidth="1"/>
    <col min="4393" max="4394" width="14.7109375" style="252" customWidth="1"/>
    <col min="4395" max="4395" width="17.7109375" style="252" customWidth="1"/>
    <col min="4396" max="4397" width="14.7109375" style="252" customWidth="1"/>
    <col min="4398" max="4398" width="16.7109375" style="252" customWidth="1"/>
    <col min="4399" max="4403" width="14.7109375" style="252" customWidth="1"/>
    <col min="4404" max="4404" width="16.5703125" style="252" customWidth="1"/>
    <col min="4405" max="4405" width="14.28515625" style="252" customWidth="1"/>
    <col min="4406" max="4406" width="15" style="252" customWidth="1"/>
    <col min="4407" max="4407" width="16.5703125" style="252" customWidth="1"/>
    <col min="4408" max="4409" width="14.7109375" style="252" customWidth="1"/>
    <col min="4410" max="4410" width="16.7109375" style="252" customWidth="1"/>
    <col min="4411" max="4412" width="14.7109375" style="252" customWidth="1"/>
    <col min="4413" max="4413" width="16.5703125" style="252" customWidth="1"/>
    <col min="4414" max="4414" width="18.140625" style="252" customWidth="1"/>
    <col min="4415" max="4624" width="9.140625" style="252"/>
    <col min="4625" max="4625" width="3.140625" style="252" customWidth="1"/>
    <col min="4626" max="4626" width="13.42578125" style="252" customWidth="1"/>
    <col min="4627" max="4627" width="26.28515625" style="252" customWidth="1"/>
    <col min="4628" max="4629" width="17.7109375" style="252" customWidth="1"/>
    <col min="4630" max="4630" width="20.7109375" style="252" customWidth="1"/>
    <col min="4631" max="4632" width="14.7109375" style="252" customWidth="1"/>
    <col min="4633" max="4633" width="16.42578125" style="252" customWidth="1"/>
    <col min="4634" max="4635" width="14.7109375" style="252" customWidth="1"/>
    <col min="4636" max="4636" width="16.7109375" style="252" customWidth="1"/>
    <col min="4637" max="4638" width="14.7109375" style="252" customWidth="1"/>
    <col min="4639" max="4639" width="16.7109375" style="252" customWidth="1"/>
    <col min="4640" max="4641" width="14.7109375" style="252" customWidth="1"/>
    <col min="4642" max="4642" width="16.140625" style="252" customWidth="1"/>
    <col min="4643" max="4644" width="14.7109375" style="252" customWidth="1"/>
    <col min="4645" max="4645" width="15.7109375" style="252" customWidth="1"/>
    <col min="4646" max="4647" width="14.7109375" style="252" customWidth="1"/>
    <col min="4648" max="4648" width="16.7109375" style="252" customWidth="1"/>
    <col min="4649" max="4650" width="14.7109375" style="252" customWidth="1"/>
    <col min="4651" max="4651" width="17.7109375" style="252" customWidth="1"/>
    <col min="4652" max="4653" width="14.7109375" style="252" customWidth="1"/>
    <col min="4654" max="4654" width="16.7109375" style="252" customWidth="1"/>
    <col min="4655" max="4659" width="14.7109375" style="252" customWidth="1"/>
    <col min="4660" max="4660" width="16.5703125" style="252" customWidth="1"/>
    <col min="4661" max="4661" width="14.28515625" style="252" customWidth="1"/>
    <col min="4662" max="4662" width="15" style="252" customWidth="1"/>
    <col min="4663" max="4663" width="16.5703125" style="252" customWidth="1"/>
    <col min="4664" max="4665" width="14.7109375" style="252" customWidth="1"/>
    <col min="4666" max="4666" width="16.7109375" style="252" customWidth="1"/>
    <col min="4667" max="4668" width="14.7109375" style="252" customWidth="1"/>
    <col min="4669" max="4669" width="16.5703125" style="252" customWidth="1"/>
    <col min="4670" max="4670" width="18.140625" style="252" customWidth="1"/>
    <col min="4671" max="4880" width="9.140625" style="252"/>
    <col min="4881" max="4881" width="3.140625" style="252" customWidth="1"/>
    <col min="4882" max="4882" width="13.42578125" style="252" customWidth="1"/>
    <col min="4883" max="4883" width="26.28515625" style="252" customWidth="1"/>
    <col min="4884" max="4885" width="17.7109375" style="252" customWidth="1"/>
    <col min="4886" max="4886" width="20.7109375" style="252" customWidth="1"/>
    <col min="4887" max="4888" width="14.7109375" style="252" customWidth="1"/>
    <col min="4889" max="4889" width="16.42578125" style="252" customWidth="1"/>
    <col min="4890" max="4891" width="14.7109375" style="252" customWidth="1"/>
    <col min="4892" max="4892" width="16.7109375" style="252" customWidth="1"/>
    <col min="4893" max="4894" width="14.7109375" style="252" customWidth="1"/>
    <col min="4895" max="4895" width="16.7109375" style="252" customWidth="1"/>
    <col min="4896" max="4897" width="14.7109375" style="252" customWidth="1"/>
    <col min="4898" max="4898" width="16.140625" style="252" customWidth="1"/>
    <col min="4899" max="4900" width="14.7109375" style="252" customWidth="1"/>
    <col min="4901" max="4901" width="15.7109375" style="252" customWidth="1"/>
    <col min="4902" max="4903" width="14.7109375" style="252" customWidth="1"/>
    <col min="4904" max="4904" width="16.7109375" style="252" customWidth="1"/>
    <col min="4905" max="4906" width="14.7109375" style="252" customWidth="1"/>
    <col min="4907" max="4907" width="17.7109375" style="252" customWidth="1"/>
    <col min="4908" max="4909" width="14.7109375" style="252" customWidth="1"/>
    <col min="4910" max="4910" width="16.7109375" style="252" customWidth="1"/>
    <col min="4911" max="4915" width="14.7109375" style="252" customWidth="1"/>
    <col min="4916" max="4916" width="16.5703125" style="252" customWidth="1"/>
    <col min="4917" max="4917" width="14.28515625" style="252" customWidth="1"/>
    <col min="4918" max="4918" width="15" style="252" customWidth="1"/>
    <col min="4919" max="4919" width="16.5703125" style="252" customWidth="1"/>
    <col min="4920" max="4921" width="14.7109375" style="252" customWidth="1"/>
    <col min="4922" max="4922" width="16.7109375" style="252" customWidth="1"/>
    <col min="4923" max="4924" width="14.7109375" style="252" customWidth="1"/>
    <col min="4925" max="4925" width="16.5703125" style="252" customWidth="1"/>
    <col min="4926" max="4926" width="18.140625" style="252" customWidth="1"/>
    <col min="4927" max="5136" width="9.140625" style="252"/>
    <col min="5137" max="5137" width="3.140625" style="252" customWidth="1"/>
    <col min="5138" max="5138" width="13.42578125" style="252" customWidth="1"/>
    <col min="5139" max="5139" width="26.28515625" style="252" customWidth="1"/>
    <col min="5140" max="5141" width="17.7109375" style="252" customWidth="1"/>
    <col min="5142" max="5142" width="20.7109375" style="252" customWidth="1"/>
    <col min="5143" max="5144" width="14.7109375" style="252" customWidth="1"/>
    <col min="5145" max="5145" width="16.42578125" style="252" customWidth="1"/>
    <col min="5146" max="5147" width="14.7109375" style="252" customWidth="1"/>
    <col min="5148" max="5148" width="16.7109375" style="252" customWidth="1"/>
    <col min="5149" max="5150" width="14.7109375" style="252" customWidth="1"/>
    <col min="5151" max="5151" width="16.7109375" style="252" customWidth="1"/>
    <col min="5152" max="5153" width="14.7109375" style="252" customWidth="1"/>
    <col min="5154" max="5154" width="16.140625" style="252" customWidth="1"/>
    <col min="5155" max="5156" width="14.7109375" style="252" customWidth="1"/>
    <col min="5157" max="5157" width="15.7109375" style="252" customWidth="1"/>
    <col min="5158" max="5159" width="14.7109375" style="252" customWidth="1"/>
    <col min="5160" max="5160" width="16.7109375" style="252" customWidth="1"/>
    <col min="5161" max="5162" width="14.7109375" style="252" customWidth="1"/>
    <col min="5163" max="5163" width="17.7109375" style="252" customWidth="1"/>
    <col min="5164" max="5165" width="14.7109375" style="252" customWidth="1"/>
    <col min="5166" max="5166" width="16.7109375" style="252" customWidth="1"/>
    <col min="5167" max="5171" width="14.7109375" style="252" customWidth="1"/>
    <col min="5172" max="5172" width="16.5703125" style="252" customWidth="1"/>
    <col min="5173" max="5173" width="14.28515625" style="252" customWidth="1"/>
    <col min="5174" max="5174" width="15" style="252" customWidth="1"/>
    <col min="5175" max="5175" width="16.5703125" style="252" customWidth="1"/>
    <col min="5176" max="5177" width="14.7109375" style="252" customWidth="1"/>
    <col min="5178" max="5178" width="16.7109375" style="252" customWidth="1"/>
    <col min="5179" max="5180" width="14.7109375" style="252" customWidth="1"/>
    <col min="5181" max="5181" width="16.5703125" style="252" customWidth="1"/>
    <col min="5182" max="5182" width="18.140625" style="252" customWidth="1"/>
    <col min="5183" max="5392" width="9.140625" style="252"/>
    <col min="5393" max="5393" width="3.140625" style="252" customWidth="1"/>
    <col min="5394" max="5394" width="13.42578125" style="252" customWidth="1"/>
    <col min="5395" max="5395" width="26.28515625" style="252" customWidth="1"/>
    <col min="5396" max="5397" width="17.7109375" style="252" customWidth="1"/>
    <col min="5398" max="5398" width="20.7109375" style="252" customWidth="1"/>
    <col min="5399" max="5400" width="14.7109375" style="252" customWidth="1"/>
    <col min="5401" max="5401" width="16.42578125" style="252" customWidth="1"/>
    <col min="5402" max="5403" width="14.7109375" style="252" customWidth="1"/>
    <col min="5404" max="5404" width="16.7109375" style="252" customWidth="1"/>
    <col min="5405" max="5406" width="14.7109375" style="252" customWidth="1"/>
    <col min="5407" max="5407" width="16.7109375" style="252" customWidth="1"/>
    <col min="5408" max="5409" width="14.7109375" style="252" customWidth="1"/>
    <col min="5410" max="5410" width="16.140625" style="252" customWidth="1"/>
    <col min="5411" max="5412" width="14.7109375" style="252" customWidth="1"/>
    <col min="5413" max="5413" width="15.7109375" style="252" customWidth="1"/>
    <col min="5414" max="5415" width="14.7109375" style="252" customWidth="1"/>
    <col min="5416" max="5416" width="16.7109375" style="252" customWidth="1"/>
    <col min="5417" max="5418" width="14.7109375" style="252" customWidth="1"/>
    <col min="5419" max="5419" width="17.7109375" style="252" customWidth="1"/>
    <col min="5420" max="5421" width="14.7109375" style="252" customWidth="1"/>
    <col min="5422" max="5422" width="16.7109375" style="252" customWidth="1"/>
    <col min="5423" max="5427" width="14.7109375" style="252" customWidth="1"/>
    <col min="5428" max="5428" width="16.5703125" style="252" customWidth="1"/>
    <col min="5429" max="5429" width="14.28515625" style="252" customWidth="1"/>
    <col min="5430" max="5430" width="15" style="252" customWidth="1"/>
    <col min="5431" max="5431" width="16.5703125" style="252" customWidth="1"/>
    <col min="5432" max="5433" width="14.7109375" style="252" customWidth="1"/>
    <col min="5434" max="5434" width="16.7109375" style="252" customWidth="1"/>
    <col min="5435" max="5436" width="14.7109375" style="252" customWidth="1"/>
    <col min="5437" max="5437" width="16.5703125" style="252" customWidth="1"/>
    <col min="5438" max="5438" width="18.140625" style="252" customWidth="1"/>
    <col min="5439" max="5648" width="9.140625" style="252"/>
    <col min="5649" max="5649" width="3.140625" style="252" customWidth="1"/>
    <col min="5650" max="5650" width="13.42578125" style="252" customWidth="1"/>
    <col min="5651" max="5651" width="26.28515625" style="252" customWidth="1"/>
    <col min="5652" max="5653" width="17.7109375" style="252" customWidth="1"/>
    <col min="5654" max="5654" width="20.7109375" style="252" customWidth="1"/>
    <col min="5655" max="5656" width="14.7109375" style="252" customWidth="1"/>
    <col min="5657" max="5657" width="16.42578125" style="252" customWidth="1"/>
    <col min="5658" max="5659" width="14.7109375" style="252" customWidth="1"/>
    <col min="5660" max="5660" width="16.7109375" style="252" customWidth="1"/>
    <col min="5661" max="5662" width="14.7109375" style="252" customWidth="1"/>
    <col min="5663" max="5663" width="16.7109375" style="252" customWidth="1"/>
    <col min="5664" max="5665" width="14.7109375" style="252" customWidth="1"/>
    <col min="5666" max="5666" width="16.140625" style="252" customWidth="1"/>
    <col min="5667" max="5668" width="14.7109375" style="252" customWidth="1"/>
    <col min="5669" max="5669" width="15.7109375" style="252" customWidth="1"/>
    <col min="5670" max="5671" width="14.7109375" style="252" customWidth="1"/>
    <col min="5672" max="5672" width="16.7109375" style="252" customWidth="1"/>
    <col min="5673" max="5674" width="14.7109375" style="252" customWidth="1"/>
    <col min="5675" max="5675" width="17.7109375" style="252" customWidth="1"/>
    <col min="5676" max="5677" width="14.7109375" style="252" customWidth="1"/>
    <col min="5678" max="5678" width="16.7109375" style="252" customWidth="1"/>
    <col min="5679" max="5683" width="14.7109375" style="252" customWidth="1"/>
    <col min="5684" max="5684" width="16.5703125" style="252" customWidth="1"/>
    <col min="5685" max="5685" width="14.28515625" style="252" customWidth="1"/>
    <col min="5686" max="5686" width="15" style="252" customWidth="1"/>
    <col min="5687" max="5687" width="16.5703125" style="252" customWidth="1"/>
    <col min="5688" max="5689" width="14.7109375" style="252" customWidth="1"/>
    <col min="5690" max="5690" width="16.7109375" style="252" customWidth="1"/>
    <col min="5691" max="5692" width="14.7109375" style="252" customWidth="1"/>
    <col min="5693" max="5693" width="16.5703125" style="252" customWidth="1"/>
    <col min="5694" max="5694" width="18.140625" style="252" customWidth="1"/>
    <col min="5695" max="5904" width="9.140625" style="252"/>
    <col min="5905" max="5905" width="3.140625" style="252" customWidth="1"/>
    <col min="5906" max="5906" width="13.42578125" style="252" customWidth="1"/>
    <col min="5907" max="5907" width="26.28515625" style="252" customWidth="1"/>
    <col min="5908" max="5909" width="17.7109375" style="252" customWidth="1"/>
    <col min="5910" max="5910" width="20.7109375" style="252" customWidth="1"/>
    <col min="5911" max="5912" width="14.7109375" style="252" customWidth="1"/>
    <col min="5913" max="5913" width="16.42578125" style="252" customWidth="1"/>
    <col min="5914" max="5915" width="14.7109375" style="252" customWidth="1"/>
    <col min="5916" max="5916" width="16.7109375" style="252" customWidth="1"/>
    <col min="5917" max="5918" width="14.7109375" style="252" customWidth="1"/>
    <col min="5919" max="5919" width="16.7109375" style="252" customWidth="1"/>
    <col min="5920" max="5921" width="14.7109375" style="252" customWidth="1"/>
    <col min="5922" max="5922" width="16.140625" style="252" customWidth="1"/>
    <col min="5923" max="5924" width="14.7109375" style="252" customWidth="1"/>
    <col min="5925" max="5925" width="15.7109375" style="252" customWidth="1"/>
    <col min="5926" max="5927" width="14.7109375" style="252" customWidth="1"/>
    <col min="5928" max="5928" width="16.7109375" style="252" customWidth="1"/>
    <col min="5929" max="5930" width="14.7109375" style="252" customWidth="1"/>
    <col min="5931" max="5931" width="17.7109375" style="252" customWidth="1"/>
    <col min="5932" max="5933" width="14.7109375" style="252" customWidth="1"/>
    <col min="5934" max="5934" width="16.7109375" style="252" customWidth="1"/>
    <col min="5935" max="5939" width="14.7109375" style="252" customWidth="1"/>
    <col min="5940" max="5940" width="16.5703125" style="252" customWidth="1"/>
    <col min="5941" max="5941" width="14.28515625" style="252" customWidth="1"/>
    <col min="5942" max="5942" width="15" style="252" customWidth="1"/>
    <col min="5943" max="5943" width="16.5703125" style="252" customWidth="1"/>
    <col min="5944" max="5945" width="14.7109375" style="252" customWidth="1"/>
    <col min="5946" max="5946" width="16.7109375" style="252" customWidth="1"/>
    <col min="5947" max="5948" width="14.7109375" style="252" customWidth="1"/>
    <col min="5949" max="5949" width="16.5703125" style="252" customWidth="1"/>
    <col min="5950" max="5950" width="18.140625" style="252" customWidth="1"/>
    <col min="5951" max="6160" width="9.140625" style="252"/>
    <col min="6161" max="6161" width="3.140625" style="252" customWidth="1"/>
    <col min="6162" max="6162" width="13.42578125" style="252" customWidth="1"/>
    <col min="6163" max="6163" width="26.28515625" style="252" customWidth="1"/>
    <col min="6164" max="6165" width="17.7109375" style="252" customWidth="1"/>
    <col min="6166" max="6166" width="20.7109375" style="252" customWidth="1"/>
    <col min="6167" max="6168" width="14.7109375" style="252" customWidth="1"/>
    <col min="6169" max="6169" width="16.42578125" style="252" customWidth="1"/>
    <col min="6170" max="6171" width="14.7109375" style="252" customWidth="1"/>
    <col min="6172" max="6172" width="16.7109375" style="252" customWidth="1"/>
    <col min="6173" max="6174" width="14.7109375" style="252" customWidth="1"/>
    <col min="6175" max="6175" width="16.7109375" style="252" customWidth="1"/>
    <col min="6176" max="6177" width="14.7109375" style="252" customWidth="1"/>
    <col min="6178" max="6178" width="16.140625" style="252" customWidth="1"/>
    <col min="6179" max="6180" width="14.7109375" style="252" customWidth="1"/>
    <col min="6181" max="6181" width="15.7109375" style="252" customWidth="1"/>
    <col min="6182" max="6183" width="14.7109375" style="252" customWidth="1"/>
    <col min="6184" max="6184" width="16.7109375" style="252" customWidth="1"/>
    <col min="6185" max="6186" width="14.7109375" style="252" customWidth="1"/>
    <col min="6187" max="6187" width="17.7109375" style="252" customWidth="1"/>
    <col min="6188" max="6189" width="14.7109375" style="252" customWidth="1"/>
    <col min="6190" max="6190" width="16.7109375" style="252" customWidth="1"/>
    <col min="6191" max="6195" width="14.7109375" style="252" customWidth="1"/>
    <col min="6196" max="6196" width="16.5703125" style="252" customWidth="1"/>
    <col min="6197" max="6197" width="14.28515625" style="252" customWidth="1"/>
    <col min="6198" max="6198" width="15" style="252" customWidth="1"/>
    <col min="6199" max="6199" width="16.5703125" style="252" customWidth="1"/>
    <col min="6200" max="6201" width="14.7109375" style="252" customWidth="1"/>
    <col min="6202" max="6202" width="16.7109375" style="252" customWidth="1"/>
    <col min="6203" max="6204" width="14.7109375" style="252" customWidth="1"/>
    <col min="6205" max="6205" width="16.5703125" style="252" customWidth="1"/>
    <col min="6206" max="6206" width="18.140625" style="252" customWidth="1"/>
    <col min="6207" max="6416" width="9.140625" style="252"/>
    <col min="6417" max="6417" width="3.140625" style="252" customWidth="1"/>
    <col min="6418" max="6418" width="13.42578125" style="252" customWidth="1"/>
    <col min="6419" max="6419" width="26.28515625" style="252" customWidth="1"/>
    <col min="6420" max="6421" width="17.7109375" style="252" customWidth="1"/>
    <col min="6422" max="6422" width="20.7109375" style="252" customWidth="1"/>
    <col min="6423" max="6424" width="14.7109375" style="252" customWidth="1"/>
    <col min="6425" max="6425" width="16.42578125" style="252" customWidth="1"/>
    <col min="6426" max="6427" width="14.7109375" style="252" customWidth="1"/>
    <col min="6428" max="6428" width="16.7109375" style="252" customWidth="1"/>
    <col min="6429" max="6430" width="14.7109375" style="252" customWidth="1"/>
    <col min="6431" max="6431" width="16.7109375" style="252" customWidth="1"/>
    <col min="6432" max="6433" width="14.7109375" style="252" customWidth="1"/>
    <col min="6434" max="6434" width="16.140625" style="252" customWidth="1"/>
    <col min="6435" max="6436" width="14.7109375" style="252" customWidth="1"/>
    <col min="6437" max="6437" width="15.7109375" style="252" customWidth="1"/>
    <col min="6438" max="6439" width="14.7109375" style="252" customWidth="1"/>
    <col min="6440" max="6440" width="16.7109375" style="252" customWidth="1"/>
    <col min="6441" max="6442" width="14.7109375" style="252" customWidth="1"/>
    <col min="6443" max="6443" width="17.7109375" style="252" customWidth="1"/>
    <col min="6444" max="6445" width="14.7109375" style="252" customWidth="1"/>
    <col min="6446" max="6446" width="16.7109375" style="252" customWidth="1"/>
    <col min="6447" max="6451" width="14.7109375" style="252" customWidth="1"/>
    <col min="6452" max="6452" width="16.5703125" style="252" customWidth="1"/>
    <col min="6453" max="6453" width="14.28515625" style="252" customWidth="1"/>
    <col min="6454" max="6454" width="15" style="252" customWidth="1"/>
    <col min="6455" max="6455" width="16.5703125" style="252" customWidth="1"/>
    <col min="6456" max="6457" width="14.7109375" style="252" customWidth="1"/>
    <col min="6458" max="6458" width="16.7109375" style="252" customWidth="1"/>
    <col min="6459" max="6460" width="14.7109375" style="252" customWidth="1"/>
    <col min="6461" max="6461" width="16.5703125" style="252" customWidth="1"/>
    <col min="6462" max="6462" width="18.140625" style="252" customWidth="1"/>
    <col min="6463" max="6672" width="9.140625" style="252"/>
    <col min="6673" max="6673" width="3.140625" style="252" customWidth="1"/>
    <col min="6674" max="6674" width="13.42578125" style="252" customWidth="1"/>
    <col min="6675" max="6675" width="26.28515625" style="252" customWidth="1"/>
    <col min="6676" max="6677" width="17.7109375" style="252" customWidth="1"/>
    <col min="6678" max="6678" width="20.7109375" style="252" customWidth="1"/>
    <col min="6679" max="6680" width="14.7109375" style="252" customWidth="1"/>
    <col min="6681" max="6681" width="16.42578125" style="252" customWidth="1"/>
    <col min="6682" max="6683" width="14.7109375" style="252" customWidth="1"/>
    <col min="6684" max="6684" width="16.7109375" style="252" customWidth="1"/>
    <col min="6685" max="6686" width="14.7109375" style="252" customWidth="1"/>
    <col min="6687" max="6687" width="16.7109375" style="252" customWidth="1"/>
    <col min="6688" max="6689" width="14.7109375" style="252" customWidth="1"/>
    <col min="6690" max="6690" width="16.140625" style="252" customWidth="1"/>
    <col min="6691" max="6692" width="14.7109375" style="252" customWidth="1"/>
    <col min="6693" max="6693" width="15.7109375" style="252" customWidth="1"/>
    <col min="6694" max="6695" width="14.7109375" style="252" customWidth="1"/>
    <col min="6696" max="6696" width="16.7109375" style="252" customWidth="1"/>
    <col min="6697" max="6698" width="14.7109375" style="252" customWidth="1"/>
    <col min="6699" max="6699" width="17.7109375" style="252" customWidth="1"/>
    <col min="6700" max="6701" width="14.7109375" style="252" customWidth="1"/>
    <col min="6702" max="6702" width="16.7109375" style="252" customWidth="1"/>
    <col min="6703" max="6707" width="14.7109375" style="252" customWidth="1"/>
    <col min="6708" max="6708" width="16.5703125" style="252" customWidth="1"/>
    <col min="6709" max="6709" width="14.28515625" style="252" customWidth="1"/>
    <col min="6710" max="6710" width="15" style="252" customWidth="1"/>
    <col min="6711" max="6711" width="16.5703125" style="252" customWidth="1"/>
    <col min="6712" max="6713" width="14.7109375" style="252" customWidth="1"/>
    <col min="6714" max="6714" width="16.7109375" style="252" customWidth="1"/>
    <col min="6715" max="6716" width="14.7109375" style="252" customWidth="1"/>
    <col min="6717" max="6717" width="16.5703125" style="252" customWidth="1"/>
    <col min="6718" max="6718" width="18.140625" style="252" customWidth="1"/>
    <col min="6719" max="6928" width="9.140625" style="252"/>
    <col min="6929" max="6929" width="3.140625" style="252" customWidth="1"/>
    <col min="6930" max="6930" width="13.42578125" style="252" customWidth="1"/>
    <col min="6931" max="6931" width="26.28515625" style="252" customWidth="1"/>
    <col min="6932" max="6933" width="17.7109375" style="252" customWidth="1"/>
    <col min="6934" max="6934" width="20.7109375" style="252" customWidth="1"/>
    <col min="6935" max="6936" width="14.7109375" style="252" customWidth="1"/>
    <col min="6937" max="6937" width="16.42578125" style="252" customWidth="1"/>
    <col min="6938" max="6939" width="14.7109375" style="252" customWidth="1"/>
    <col min="6940" max="6940" width="16.7109375" style="252" customWidth="1"/>
    <col min="6941" max="6942" width="14.7109375" style="252" customWidth="1"/>
    <col min="6943" max="6943" width="16.7109375" style="252" customWidth="1"/>
    <col min="6944" max="6945" width="14.7109375" style="252" customWidth="1"/>
    <col min="6946" max="6946" width="16.140625" style="252" customWidth="1"/>
    <col min="6947" max="6948" width="14.7109375" style="252" customWidth="1"/>
    <col min="6949" max="6949" width="15.7109375" style="252" customWidth="1"/>
    <col min="6950" max="6951" width="14.7109375" style="252" customWidth="1"/>
    <col min="6952" max="6952" width="16.7109375" style="252" customWidth="1"/>
    <col min="6953" max="6954" width="14.7109375" style="252" customWidth="1"/>
    <col min="6955" max="6955" width="17.7109375" style="252" customWidth="1"/>
    <col min="6956" max="6957" width="14.7109375" style="252" customWidth="1"/>
    <col min="6958" max="6958" width="16.7109375" style="252" customWidth="1"/>
    <col min="6959" max="6963" width="14.7109375" style="252" customWidth="1"/>
    <col min="6964" max="6964" width="16.5703125" style="252" customWidth="1"/>
    <col min="6965" max="6965" width="14.28515625" style="252" customWidth="1"/>
    <col min="6966" max="6966" width="15" style="252" customWidth="1"/>
    <col min="6967" max="6967" width="16.5703125" style="252" customWidth="1"/>
    <col min="6968" max="6969" width="14.7109375" style="252" customWidth="1"/>
    <col min="6970" max="6970" width="16.7109375" style="252" customWidth="1"/>
    <col min="6971" max="6972" width="14.7109375" style="252" customWidth="1"/>
    <col min="6973" max="6973" width="16.5703125" style="252" customWidth="1"/>
    <col min="6974" max="6974" width="18.140625" style="252" customWidth="1"/>
    <col min="6975" max="7184" width="9.140625" style="252"/>
    <col min="7185" max="7185" width="3.140625" style="252" customWidth="1"/>
    <col min="7186" max="7186" width="13.42578125" style="252" customWidth="1"/>
    <col min="7187" max="7187" width="26.28515625" style="252" customWidth="1"/>
    <col min="7188" max="7189" width="17.7109375" style="252" customWidth="1"/>
    <col min="7190" max="7190" width="20.7109375" style="252" customWidth="1"/>
    <col min="7191" max="7192" width="14.7109375" style="252" customWidth="1"/>
    <col min="7193" max="7193" width="16.42578125" style="252" customWidth="1"/>
    <col min="7194" max="7195" width="14.7109375" style="252" customWidth="1"/>
    <col min="7196" max="7196" width="16.7109375" style="252" customWidth="1"/>
    <col min="7197" max="7198" width="14.7109375" style="252" customWidth="1"/>
    <col min="7199" max="7199" width="16.7109375" style="252" customWidth="1"/>
    <col min="7200" max="7201" width="14.7109375" style="252" customWidth="1"/>
    <col min="7202" max="7202" width="16.140625" style="252" customWidth="1"/>
    <col min="7203" max="7204" width="14.7109375" style="252" customWidth="1"/>
    <col min="7205" max="7205" width="15.7109375" style="252" customWidth="1"/>
    <col min="7206" max="7207" width="14.7109375" style="252" customWidth="1"/>
    <col min="7208" max="7208" width="16.7109375" style="252" customWidth="1"/>
    <col min="7209" max="7210" width="14.7109375" style="252" customWidth="1"/>
    <col min="7211" max="7211" width="17.7109375" style="252" customWidth="1"/>
    <col min="7212" max="7213" width="14.7109375" style="252" customWidth="1"/>
    <col min="7214" max="7214" width="16.7109375" style="252" customWidth="1"/>
    <col min="7215" max="7219" width="14.7109375" style="252" customWidth="1"/>
    <col min="7220" max="7220" width="16.5703125" style="252" customWidth="1"/>
    <col min="7221" max="7221" width="14.28515625" style="252" customWidth="1"/>
    <col min="7222" max="7222" width="15" style="252" customWidth="1"/>
    <col min="7223" max="7223" width="16.5703125" style="252" customWidth="1"/>
    <col min="7224" max="7225" width="14.7109375" style="252" customWidth="1"/>
    <col min="7226" max="7226" width="16.7109375" style="252" customWidth="1"/>
    <col min="7227" max="7228" width="14.7109375" style="252" customWidth="1"/>
    <col min="7229" max="7229" width="16.5703125" style="252" customWidth="1"/>
    <col min="7230" max="7230" width="18.140625" style="252" customWidth="1"/>
    <col min="7231" max="7440" width="9.140625" style="252"/>
    <col min="7441" max="7441" width="3.140625" style="252" customWidth="1"/>
    <col min="7442" max="7442" width="13.42578125" style="252" customWidth="1"/>
    <col min="7443" max="7443" width="26.28515625" style="252" customWidth="1"/>
    <col min="7444" max="7445" width="17.7109375" style="252" customWidth="1"/>
    <col min="7446" max="7446" width="20.7109375" style="252" customWidth="1"/>
    <col min="7447" max="7448" width="14.7109375" style="252" customWidth="1"/>
    <col min="7449" max="7449" width="16.42578125" style="252" customWidth="1"/>
    <col min="7450" max="7451" width="14.7109375" style="252" customWidth="1"/>
    <col min="7452" max="7452" width="16.7109375" style="252" customWidth="1"/>
    <col min="7453" max="7454" width="14.7109375" style="252" customWidth="1"/>
    <col min="7455" max="7455" width="16.7109375" style="252" customWidth="1"/>
    <col min="7456" max="7457" width="14.7109375" style="252" customWidth="1"/>
    <col min="7458" max="7458" width="16.140625" style="252" customWidth="1"/>
    <col min="7459" max="7460" width="14.7109375" style="252" customWidth="1"/>
    <col min="7461" max="7461" width="15.7109375" style="252" customWidth="1"/>
    <col min="7462" max="7463" width="14.7109375" style="252" customWidth="1"/>
    <col min="7464" max="7464" width="16.7109375" style="252" customWidth="1"/>
    <col min="7465" max="7466" width="14.7109375" style="252" customWidth="1"/>
    <col min="7467" max="7467" width="17.7109375" style="252" customWidth="1"/>
    <col min="7468" max="7469" width="14.7109375" style="252" customWidth="1"/>
    <col min="7470" max="7470" width="16.7109375" style="252" customWidth="1"/>
    <col min="7471" max="7475" width="14.7109375" style="252" customWidth="1"/>
    <col min="7476" max="7476" width="16.5703125" style="252" customWidth="1"/>
    <col min="7477" max="7477" width="14.28515625" style="252" customWidth="1"/>
    <col min="7478" max="7478" width="15" style="252" customWidth="1"/>
    <col min="7479" max="7479" width="16.5703125" style="252" customWidth="1"/>
    <col min="7480" max="7481" width="14.7109375" style="252" customWidth="1"/>
    <col min="7482" max="7482" width="16.7109375" style="252" customWidth="1"/>
    <col min="7483" max="7484" width="14.7109375" style="252" customWidth="1"/>
    <col min="7485" max="7485" width="16.5703125" style="252" customWidth="1"/>
    <col min="7486" max="7486" width="18.140625" style="252" customWidth="1"/>
    <col min="7487" max="7696" width="9.140625" style="252"/>
    <col min="7697" max="7697" width="3.140625" style="252" customWidth="1"/>
    <col min="7698" max="7698" width="13.42578125" style="252" customWidth="1"/>
    <col min="7699" max="7699" width="26.28515625" style="252" customWidth="1"/>
    <col min="7700" max="7701" width="17.7109375" style="252" customWidth="1"/>
    <col min="7702" max="7702" width="20.7109375" style="252" customWidth="1"/>
    <col min="7703" max="7704" width="14.7109375" style="252" customWidth="1"/>
    <col min="7705" max="7705" width="16.42578125" style="252" customWidth="1"/>
    <col min="7706" max="7707" width="14.7109375" style="252" customWidth="1"/>
    <col min="7708" max="7708" width="16.7109375" style="252" customWidth="1"/>
    <col min="7709" max="7710" width="14.7109375" style="252" customWidth="1"/>
    <col min="7711" max="7711" width="16.7109375" style="252" customWidth="1"/>
    <col min="7712" max="7713" width="14.7109375" style="252" customWidth="1"/>
    <col min="7714" max="7714" width="16.140625" style="252" customWidth="1"/>
    <col min="7715" max="7716" width="14.7109375" style="252" customWidth="1"/>
    <col min="7717" max="7717" width="15.7109375" style="252" customWidth="1"/>
    <col min="7718" max="7719" width="14.7109375" style="252" customWidth="1"/>
    <col min="7720" max="7720" width="16.7109375" style="252" customWidth="1"/>
    <col min="7721" max="7722" width="14.7109375" style="252" customWidth="1"/>
    <col min="7723" max="7723" width="17.7109375" style="252" customWidth="1"/>
    <col min="7724" max="7725" width="14.7109375" style="252" customWidth="1"/>
    <col min="7726" max="7726" width="16.7109375" style="252" customWidth="1"/>
    <col min="7727" max="7731" width="14.7109375" style="252" customWidth="1"/>
    <col min="7732" max="7732" width="16.5703125" style="252" customWidth="1"/>
    <col min="7733" max="7733" width="14.28515625" style="252" customWidth="1"/>
    <col min="7734" max="7734" width="15" style="252" customWidth="1"/>
    <col min="7735" max="7735" width="16.5703125" style="252" customWidth="1"/>
    <col min="7736" max="7737" width="14.7109375" style="252" customWidth="1"/>
    <col min="7738" max="7738" width="16.7109375" style="252" customWidth="1"/>
    <col min="7739" max="7740" width="14.7109375" style="252" customWidth="1"/>
    <col min="7741" max="7741" width="16.5703125" style="252" customWidth="1"/>
    <col min="7742" max="7742" width="18.140625" style="252" customWidth="1"/>
    <col min="7743" max="7952" width="9.140625" style="252"/>
    <col min="7953" max="7953" width="3.140625" style="252" customWidth="1"/>
    <col min="7954" max="7954" width="13.42578125" style="252" customWidth="1"/>
    <col min="7955" max="7955" width="26.28515625" style="252" customWidth="1"/>
    <col min="7956" max="7957" width="17.7109375" style="252" customWidth="1"/>
    <col min="7958" max="7958" width="20.7109375" style="252" customWidth="1"/>
    <col min="7959" max="7960" width="14.7109375" style="252" customWidth="1"/>
    <col min="7961" max="7961" width="16.42578125" style="252" customWidth="1"/>
    <col min="7962" max="7963" width="14.7109375" style="252" customWidth="1"/>
    <col min="7964" max="7964" width="16.7109375" style="252" customWidth="1"/>
    <col min="7965" max="7966" width="14.7109375" style="252" customWidth="1"/>
    <col min="7967" max="7967" width="16.7109375" style="252" customWidth="1"/>
    <col min="7968" max="7969" width="14.7109375" style="252" customWidth="1"/>
    <col min="7970" max="7970" width="16.140625" style="252" customWidth="1"/>
    <col min="7971" max="7972" width="14.7109375" style="252" customWidth="1"/>
    <col min="7973" max="7973" width="15.7109375" style="252" customWidth="1"/>
    <col min="7974" max="7975" width="14.7109375" style="252" customWidth="1"/>
    <col min="7976" max="7976" width="16.7109375" style="252" customWidth="1"/>
    <col min="7977" max="7978" width="14.7109375" style="252" customWidth="1"/>
    <col min="7979" max="7979" width="17.7109375" style="252" customWidth="1"/>
    <col min="7980" max="7981" width="14.7109375" style="252" customWidth="1"/>
    <col min="7982" max="7982" width="16.7109375" style="252" customWidth="1"/>
    <col min="7983" max="7987" width="14.7109375" style="252" customWidth="1"/>
    <col min="7988" max="7988" width="16.5703125" style="252" customWidth="1"/>
    <col min="7989" max="7989" width="14.28515625" style="252" customWidth="1"/>
    <col min="7990" max="7990" width="15" style="252" customWidth="1"/>
    <col min="7991" max="7991" width="16.5703125" style="252" customWidth="1"/>
    <col min="7992" max="7993" width="14.7109375" style="252" customWidth="1"/>
    <col min="7994" max="7994" width="16.7109375" style="252" customWidth="1"/>
    <col min="7995" max="7996" width="14.7109375" style="252" customWidth="1"/>
    <col min="7997" max="7997" width="16.5703125" style="252" customWidth="1"/>
    <col min="7998" max="7998" width="18.140625" style="252" customWidth="1"/>
    <col min="7999" max="8208" width="9.140625" style="252"/>
    <col min="8209" max="8209" width="3.140625" style="252" customWidth="1"/>
    <col min="8210" max="8210" width="13.42578125" style="252" customWidth="1"/>
    <col min="8211" max="8211" width="26.28515625" style="252" customWidth="1"/>
    <col min="8212" max="8213" width="17.7109375" style="252" customWidth="1"/>
    <col min="8214" max="8214" width="20.7109375" style="252" customWidth="1"/>
    <col min="8215" max="8216" width="14.7109375" style="252" customWidth="1"/>
    <col min="8217" max="8217" width="16.42578125" style="252" customWidth="1"/>
    <col min="8218" max="8219" width="14.7109375" style="252" customWidth="1"/>
    <col min="8220" max="8220" width="16.7109375" style="252" customWidth="1"/>
    <col min="8221" max="8222" width="14.7109375" style="252" customWidth="1"/>
    <col min="8223" max="8223" width="16.7109375" style="252" customWidth="1"/>
    <col min="8224" max="8225" width="14.7109375" style="252" customWidth="1"/>
    <col min="8226" max="8226" width="16.140625" style="252" customWidth="1"/>
    <col min="8227" max="8228" width="14.7109375" style="252" customWidth="1"/>
    <col min="8229" max="8229" width="15.7109375" style="252" customWidth="1"/>
    <col min="8230" max="8231" width="14.7109375" style="252" customWidth="1"/>
    <col min="8232" max="8232" width="16.7109375" style="252" customWidth="1"/>
    <col min="8233" max="8234" width="14.7109375" style="252" customWidth="1"/>
    <col min="8235" max="8235" width="17.7109375" style="252" customWidth="1"/>
    <col min="8236" max="8237" width="14.7109375" style="252" customWidth="1"/>
    <col min="8238" max="8238" width="16.7109375" style="252" customWidth="1"/>
    <col min="8239" max="8243" width="14.7109375" style="252" customWidth="1"/>
    <col min="8244" max="8244" width="16.5703125" style="252" customWidth="1"/>
    <col min="8245" max="8245" width="14.28515625" style="252" customWidth="1"/>
    <col min="8246" max="8246" width="15" style="252" customWidth="1"/>
    <col min="8247" max="8247" width="16.5703125" style="252" customWidth="1"/>
    <col min="8248" max="8249" width="14.7109375" style="252" customWidth="1"/>
    <col min="8250" max="8250" width="16.7109375" style="252" customWidth="1"/>
    <col min="8251" max="8252" width="14.7109375" style="252" customWidth="1"/>
    <col min="8253" max="8253" width="16.5703125" style="252" customWidth="1"/>
    <col min="8254" max="8254" width="18.140625" style="252" customWidth="1"/>
    <col min="8255" max="8464" width="9.140625" style="252"/>
    <col min="8465" max="8465" width="3.140625" style="252" customWidth="1"/>
    <col min="8466" max="8466" width="13.42578125" style="252" customWidth="1"/>
    <col min="8467" max="8467" width="26.28515625" style="252" customWidth="1"/>
    <col min="8468" max="8469" width="17.7109375" style="252" customWidth="1"/>
    <col min="8470" max="8470" width="20.7109375" style="252" customWidth="1"/>
    <col min="8471" max="8472" width="14.7109375" style="252" customWidth="1"/>
    <col min="8473" max="8473" width="16.42578125" style="252" customWidth="1"/>
    <col min="8474" max="8475" width="14.7109375" style="252" customWidth="1"/>
    <col min="8476" max="8476" width="16.7109375" style="252" customWidth="1"/>
    <col min="8477" max="8478" width="14.7109375" style="252" customWidth="1"/>
    <col min="8479" max="8479" width="16.7109375" style="252" customWidth="1"/>
    <col min="8480" max="8481" width="14.7109375" style="252" customWidth="1"/>
    <col min="8482" max="8482" width="16.140625" style="252" customWidth="1"/>
    <col min="8483" max="8484" width="14.7109375" style="252" customWidth="1"/>
    <col min="8485" max="8485" width="15.7109375" style="252" customWidth="1"/>
    <col min="8486" max="8487" width="14.7109375" style="252" customWidth="1"/>
    <col min="8488" max="8488" width="16.7109375" style="252" customWidth="1"/>
    <col min="8489" max="8490" width="14.7109375" style="252" customWidth="1"/>
    <col min="8491" max="8491" width="17.7109375" style="252" customWidth="1"/>
    <col min="8492" max="8493" width="14.7109375" style="252" customWidth="1"/>
    <col min="8494" max="8494" width="16.7109375" style="252" customWidth="1"/>
    <col min="8495" max="8499" width="14.7109375" style="252" customWidth="1"/>
    <col min="8500" max="8500" width="16.5703125" style="252" customWidth="1"/>
    <col min="8501" max="8501" width="14.28515625" style="252" customWidth="1"/>
    <col min="8502" max="8502" width="15" style="252" customWidth="1"/>
    <col min="8503" max="8503" width="16.5703125" style="252" customWidth="1"/>
    <col min="8504" max="8505" width="14.7109375" style="252" customWidth="1"/>
    <col min="8506" max="8506" width="16.7109375" style="252" customWidth="1"/>
    <col min="8507" max="8508" width="14.7109375" style="252" customWidth="1"/>
    <col min="8509" max="8509" width="16.5703125" style="252" customWidth="1"/>
    <col min="8510" max="8510" width="18.140625" style="252" customWidth="1"/>
    <col min="8511" max="8720" width="9.140625" style="252"/>
    <col min="8721" max="8721" width="3.140625" style="252" customWidth="1"/>
    <col min="8722" max="8722" width="13.42578125" style="252" customWidth="1"/>
    <col min="8723" max="8723" width="26.28515625" style="252" customWidth="1"/>
    <col min="8724" max="8725" width="17.7109375" style="252" customWidth="1"/>
    <col min="8726" max="8726" width="20.7109375" style="252" customWidth="1"/>
    <col min="8727" max="8728" width="14.7109375" style="252" customWidth="1"/>
    <col min="8729" max="8729" width="16.42578125" style="252" customWidth="1"/>
    <col min="8730" max="8731" width="14.7109375" style="252" customWidth="1"/>
    <col min="8732" max="8732" width="16.7109375" style="252" customWidth="1"/>
    <col min="8733" max="8734" width="14.7109375" style="252" customWidth="1"/>
    <col min="8735" max="8735" width="16.7109375" style="252" customWidth="1"/>
    <col min="8736" max="8737" width="14.7109375" style="252" customWidth="1"/>
    <col min="8738" max="8738" width="16.140625" style="252" customWidth="1"/>
    <col min="8739" max="8740" width="14.7109375" style="252" customWidth="1"/>
    <col min="8741" max="8741" width="15.7109375" style="252" customWidth="1"/>
    <col min="8742" max="8743" width="14.7109375" style="252" customWidth="1"/>
    <col min="8744" max="8744" width="16.7109375" style="252" customWidth="1"/>
    <col min="8745" max="8746" width="14.7109375" style="252" customWidth="1"/>
    <col min="8747" max="8747" width="17.7109375" style="252" customWidth="1"/>
    <col min="8748" max="8749" width="14.7109375" style="252" customWidth="1"/>
    <col min="8750" max="8750" width="16.7109375" style="252" customWidth="1"/>
    <col min="8751" max="8755" width="14.7109375" style="252" customWidth="1"/>
    <col min="8756" max="8756" width="16.5703125" style="252" customWidth="1"/>
    <col min="8757" max="8757" width="14.28515625" style="252" customWidth="1"/>
    <col min="8758" max="8758" width="15" style="252" customWidth="1"/>
    <col min="8759" max="8759" width="16.5703125" style="252" customWidth="1"/>
    <col min="8760" max="8761" width="14.7109375" style="252" customWidth="1"/>
    <col min="8762" max="8762" width="16.7109375" style="252" customWidth="1"/>
    <col min="8763" max="8764" width="14.7109375" style="252" customWidth="1"/>
    <col min="8765" max="8765" width="16.5703125" style="252" customWidth="1"/>
    <col min="8766" max="8766" width="18.140625" style="252" customWidth="1"/>
    <col min="8767" max="8976" width="9.140625" style="252"/>
    <col min="8977" max="8977" width="3.140625" style="252" customWidth="1"/>
    <col min="8978" max="8978" width="13.42578125" style="252" customWidth="1"/>
    <col min="8979" max="8979" width="26.28515625" style="252" customWidth="1"/>
    <col min="8980" max="8981" width="17.7109375" style="252" customWidth="1"/>
    <col min="8982" max="8982" width="20.7109375" style="252" customWidth="1"/>
    <col min="8983" max="8984" width="14.7109375" style="252" customWidth="1"/>
    <col min="8985" max="8985" width="16.42578125" style="252" customWidth="1"/>
    <col min="8986" max="8987" width="14.7109375" style="252" customWidth="1"/>
    <col min="8988" max="8988" width="16.7109375" style="252" customWidth="1"/>
    <col min="8989" max="8990" width="14.7109375" style="252" customWidth="1"/>
    <col min="8991" max="8991" width="16.7109375" style="252" customWidth="1"/>
    <col min="8992" max="8993" width="14.7109375" style="252" customWidth="1"/>
    <col min="8994" max="8994" width="16.140625" style="252" customWidth="1"/>
    <col min="8995" max="8996" width="14.7109375" style="252" customWidth="1"/>
    <col min="8997" max="8997" width="15.7109375" style="252" customWidth="1"/>
    <col min="8998" max="8999" width="14.7109375" style="252" customWidth="1"/>
    <col min="9000" max="9000" width="16.7109375" style="252" customWidth="1"/>
    <col min="9001" max="9002" width="14.7109375" style="252" customWidth="1"/>
    <col min="9003" max="9003" width="17.7109375" style="252" customWidth="1"/>
    <col min="9004" max="9005" width="14.7109375" style="252" customWidth="1"/>
    <col min="9006" max="9006" width="16.7109375" style="252" customWidth="1"/>
    <col min="9007" max="9011" width="14.7109375" style="252" customWidth="1"/>
    <col min="9012" max="9012" width="16.5703125" style="252" customWidth="1"/>
    <col min="9013" max="9013" width="14.28515625" style="252" customWidth="1"/>
    <col min="9014" max="9014" width="15" style="252" customWidth="1"/>
    <col min="9015" max="9015" width="16.5703125" style="252" customWidth="1"/>
    <col min="9016" max="9017" width="14.7109375" style="252" customWidth="1"/>
    <col min="9018" max="9018" width="16.7109375" style="252" customWidth="1"/>
    <col min="9019" max="9020" width="14.7109375" style="252" customWidth="1"/>
    <col min="9021" max="9021" width="16.5703125" style="252" customWidth="1"/>
    <col min="9022" max="9022" width="18.140625" style="252" customWidth="1"/>
    <col min="9023" max="9232" width="9.140625" style="252"/>
    <col min="9233" max="9233" width="3.140625" style="252" customWidth="1"/>
    <col min="9234" max="9234" width="13.42578125" style="252" customWidth="1"/>
    <col min="9235" max="9235" width="26.28515625" style="252" customWidth="1"/>
    <col min="9236" max="9237" width="17.7109375" style="252" customWidth="1"/>
    <col min="9238" max="9238" width="20.7109375" style="252" customWidth="1"/>
    <col min="9239" max="9240" width="14.7109375" style="252" customWidth="1"/>
    <col min="9241" max="9241" width="16.42578125" style="252" customWidth="1"/>
    <col min="9242" max="9243" width="14.7109375" style="252" customWidth="1"/>
    <col min="9244" max="9244" width="16.7109375" style="252" customWidth="1"/>
    <col min="9245" max="9246" width="14.7109375" style="252" customWidth="1"/>
    <col min="9247" max="9247" width="16.7109375" style="252" customWidth="1"/>
    <col min="9248" max="9249" width="14.7109375" style="252" customWidth="1"/>
    <col min="9250" max="9250" width="16.140625" style="252" customWidth="1"/>
    <col min="9251" max="9252" width="14.7109375" style="252" customWidth="1"/>
    <col min="9253" max="9253" width="15.7109375" style="252" customWidth="1"/>
    <col min="9254" max="9255" width="14.7109375" style="252" customWidth="1"/>
    <col min="9256" max="9256" width="16.7109375" style="252" customWidth="1"/>
    <col min="9257" max="9258" width="14.7109375" style="252" customWidth="1"/>
    <col min="9259" max="9259" width="17.7109375" style="252" customWidth="1"/>
    <col min="9260" max="9261" width="14.7109375" style="252" customWidth="1"/>
    <col min="9262" max="9262" width="16.7109375" style="252" customWidth="1"/>
    <col min="9263" max="9267" width="14.7109375" style="252" customWidth="1"/>
    <col min="9268" max="9268" width="16.5703125" style="252" customWidth="1"/>
    <col min="9269" max="9269" width="14.28515625" style="252" customWidth="1"/>
    <col min="9270" max="9270" width="15" style="252" customWidth="1"/>
    <col min="9271" max="9271" width="16.5703125" style="252" customWidth="1"/>
    <col min="9272" max="9273" width="14.7109375" style="252" customWidth="1"/>
    <col min="9274" max="9274" width="16.7109375" style="252" customWidth="1"/>
    <col min="9275" max="9276" width="14.7109375" style="252" customWidth="1"/>
    <col min="9277" max="9277" width="16.5703125" style="252" customWidth="1"/>
    <col min="9278" max="9278" width="18.140625" style="252" customWidth="1"/>
    <col min="9279" max="9488" width="9.140625" style="252"/>
    <col min="9489" max="9489" width="3.140625" style="252" customWidth="1"/>
    <col min="9490" max="9490" width="13.42578125" style="252" customWidth="1"/>
    <col min="9491" max="9491" width="26.28515625" style="252" customWidth="1"/>
    <col min="9492" max="9493" width="17.7109375" style="252" customWidth="1"/>
    <col min="9494" max="9494" width="20.7109375" style="252" customWidth="1"/>
    <col min="9495" max="9496" width="14.7109375" style="252" customWidth="1"/>
    <col min="9497" max="9497" width="16.42578125" style="252" customWidth="1"/>
    <col min="9498" max="9499" width="14.7109375" style="252" customWidth="1"/>
    <col min="9500" max="9500" width="16.7109375" style="252" customWidth="1"/>
    <col min="9501" max="9502" width="14.7109375" style="252" customWidth="1"/>
    <col min="9503" max="9503" width="16.7109375" style="252" customWidth="1"/>
    <col min="9504" max="9505" width="14.7109375" style="252" customWidth="1"/>
    <col min="9506" max="9506" width="16.140625" style="252" customWidth="1"/>
    <col min="9507" max="9508" width="14.7109375" style="252" customWidth="1"/>
    <col min="9509" max="9509" width="15.7109375" style="252" customWidth="1"/>
    <col min="9510" max="9511" width="14.7109375" style="252" customWidth="1"/>
    <col min="9512" max="9512" width="16.7109375" style="252" customWidth="1"/>
    <col min="9513" max="9514" width="14.7109375" style="252" customWidth="1"/>
    <col min="9515" max="9515" width="17.7109375" style="252" customWidth="1"/>
    <col min="9516" max="9517" width="14.7109375" style="252" customWidth="1"/>
    <col min="9518" max="9518" width="16.7109375" style="252" customWidth="1"/>
    <col min="9519" max="9523" width="14.7109375" style="252" customWidth="1"/>
    <col min="9524" max="9524" width="16.5703125" style="252" customWidth="1"/>
    <col min="9525" max="9525" width="14.28515625" style="252" customWidth="1"/>
    <col min="9526" max="9526" width="15" style="252" customWidth="1"/>
    <col min="9527" max="9527" width="16.5703125" style="252" customWidth="1"/>
    <col min="9528" max="9529" width="14.7109375" style="252" customWidth="1"/>
    <col min="9530" max="9530" width="16.7109375" style="252" customWidth="1"/>
    <col min="9531" max="9532" width="14.7109375" style="252" customWidth="1"/>
    <col min="9533" max="9533" width="16.5703125" style="252" customWidth="1"/>
    <col min="9534" max="9534" width="18.140625" style="252" customWidth="1"/>
    <col min="9535" max="9744" width="9.140625" style="252"/>
    <col min="9745" max="9745" width="3.140625" style="252" customWidth="1"/>
    <col min="9746" max="9746" width="13.42578125" style="252" customWidth="1"/>
    <col min="9747" max="9747" width="26.28515625" style="252" customWidth="1"/>
    <col min="9748" max="9749" width="17.7109375" style="252" customWidth="1"/>
    <col min="9750" max="9750" width="20.7109375" style="252" customWidth="1"/>
    <col min="9751" max="9752" width="14.7109375" style="252" customWidth="1"/>
    <col min="9753" max="9753" width="16.42578125" style="252" customWidth="1"/>
    <col min="9754" max="9755" width="14.7109375" style="252" customWidth="1"/>
    <col min="9756" max="9756" width="16.7109375" style="252" customWidth="1"/>
    <col min="9757" max="9758" width="14.7109375" style="252" customWidth="1"/>
    <col min="9759" max="9759" width="16.7109375" style="252" customWidth="1"/>
    <col min="9760" max="9761" width="14.7109375" style="252" customWidth="1"/>
    <col min="9762" max="9762" width="16.140625" style="252" customWidth="1"/>
    <col min="9763" max="9764" width="14.7109375" style="252" customWidth="1"/>
    <col min="9765" max="9765" width="15.7109375" style="252" customWidth="1"/>
    <col min="9766" max="9767" width="14.7109375" style="252" customWidth="1"/>
    <col min="9768" max="9768" width="16.7109375" style="252" customWidth="1"/>
    <col min="9769" max="9770" width="14.7109375" style="252" customWidth="1"/>
    <col min="9771" max="9771" width="17.7109375" style="252" customWidth="1"/>
    <col min="9772" max="9773" width="14.7109375" style="252" customWidth="1"/>
    <col min="9774" max="9774" width="16.7109375" style="252" customWidth="1"/>
    <col min="9775" max="9779" width="14.7109375" style="252" customWidth="1"/>
    <col min="9780" max="9780" width="16.5703125" style="252" customWidth="1"/>
    <col min="9781" max="9781" width="14.28515625" style="252" customWidth="1"/>
    <col min="9782" max="9782" width="15" style="252" customWidth="1"/>
    <col min="9783" max="9783" width="16.5703125" style="252" customWidth="1"/>
    <col min="9784" max="9785" width="14.7109375" style="252" customWidth="1"/>
    <col min="9786" max="9786" width="16.7109375" style="252" customWidth="1"/>
    <col min="9787" max="9788" width="14.7109375" style="252" customWidth="1"/>
    <col min="9789" max="9789" width="16.5703125" style="252" customWidth="1"/>
    <col min="9790" max="9790" width="18.140625" style="252" customWidth="1"/>
    <col min="9791" max="10000" width="9.140625" style="252"/>
    <col min="10001" max="10001" width="3.140625" style="252" customWidth="1"/>
    <col min="10002" max="10002" width="13.42578125" style="252" customWidth="1"/>
    <col min="10003" max="10003" width="26.28515625" style="252" customWidth="1"/>
    <col min="10004" max="10005" width="17.7109375" style="252" customWidth="1"/>
    <col min="10006" max="10006" width="20.7109375" style="252" customWidth="1"/>
    <col min="10007" max="10008" width="14.7109375" style="252" customWidth="1"/>
    <col min="10009" max="10009" width="16.42578125" style="252" customWidth="1"/>
    <col min="10010" max="10011" width="14.7109375" style="252" customWidth="1"/>
    <col min="10012" max="10012" width="16.7109375" style="252" customWidth="1"/>
    <col min="10013" max="10014" width="14.7109375" style="252" customWidth="1"/>
    <col min="10015" max="10015" width="16.7109375" style="252" customWidth="1"/>
    <col min="10016" max="10017" width="14.7109375" style="252" customWidth="1"/>
    <col min="10018" max="10018" width="16.140625" style="252" customWidth="1"/>
    <col min="10019" max="10020" width="14.7109375" style="252" customWidth="1"/>
    <col min="10021" max="10021" width="15.7109375" style="252" customWidth="1"/>
    <col min="10022" max="10023" width="14.7109375" style="252" customWidth="1"/>
    <col min="10024" max="10024" width="16.7109375" style="252" customWidth="1"/>
    <col min="10025" max="10026" width="14.7109375" style="252" customWidth="1"/>
    <col min="10027" max="10027" width="17.7109375" style="252" customWidth="1"/>
    <col min="10028" max="10029" width="14.7109375" style="252" customWidth="1"/>
    <col min="10030" max="10030" width="16.7109375" style="252" customWidth="1"/>
    <col min="10031" max="10035" width="14.7109375" style="252" customWidth="1"/>
    <col min="10036" max="10036" width="16.5703125" style="252" customWidth="1"/>
    <col min="10037" max="10037" width="14.28515625" style="252" customWidth="1"/>
    <col min="10038" max="10038" width="15" style="252" customWidth="1"/>
    <col min="10039" max="10039" width="16.5703125" style="252" customWidth="1"/>
    <col min="10040" max="10041" width="14.7109375" style="252" customWidth="1"/>
    <col min="10042" max="10042" width="16.7109375" style="252" customWidth="1"/>
    <col min="10043" max="10044" width="14.7109375" style="252" customWidth="1"/>
    <col min="10045" max="10045" width="16.5703125" style="252" customWidth="1"/>
    <col min="10046" max="10046" width="18.140625" style="252" customWidth="1"/>
    <col min="10047" max="10256" width="9.140625" style="252"/>
    <col min="10257" max="10257" width="3.140625" style="252" customWidth="1"/>
    <col min="10258" max="10258" width="13.42578125" style="252" customWidth="1"/>
    <col min="10259" max="10259" width="26.28515625" style="252" customWidth="1"/>
    <col min="10260" max="10261" width="17.7109375" style="252" customWidth="1"/>
    <col min="10262" max="10262" width="20.7109375" style="252" customWidth="1"/>
    <col min="10263" max="10264" width="14.7109375" style="252" customWidth="1"/>
    <col min="10265" max="10265" width="16.42578125" style="252" customWidth="1"/>
    <col min="10266" max="10267" width="14.7109375" style="252" customWidth="1"/>
    <col min="10268" max="10268" width="16.7109375" style="252" customWidth="1"/>
    <col min="10269" max="10270" width="14.7109375" style="252" customWidth="1"/>
    <col min="10271" max="10271" width="16.7109375" style="252" customWidth="1"/>
    <col min="10272" max="10273" width="14.7109375" style="252" customWidth="1"/>
    <col min="10274" max="10274" width="16.140625" style="252" customWidth="1"/>
    <col min="10275" max="10276" width="14.7109375" style="252" customWidth="1"/>
    <col min="10277" max="10277" width="15.7109375" style="252" customWidth="1"/>
    <col min="10278" max="10279" width="14.7109375" style="252" customWidth="1"/>
    <col min="10280" max="10280" width="16.7109375" style="252" customWidth="1"/>
    <col min="10281" max="10282" width="14.7109375" style="252" customWidth="1"/>
    <col min="10283" max="10283" width="17.7109375" style="252" customWidth="1"/>
    <col min="10284" max="10285" width="14.7109375" style="252" customWidth="1"/>
    <col min="10286" max="10286" width="16.7109375" style="252" customWidth="1"/>
    <col min="10287" max="10291" width="14.7109375" style="252" customWidth="1"/>
    <col min="10292" max="10292" width="16.5703125" style="252" customWidth="1"/>
    <col min="10293" max="10293" width="14.28515625" style="252" customWidth="1"/>
    <col min="10294" max="10294" width="15" style="252" customWidth="1"/>
    <col min="10295" max="10295" width="16.5703125" style="252" customWidth="1"/>
    <col min="10296" max="10297" width="14.7109375" style="252" customWidth="1"/>
    <col min="10298" max="10298" width="16.7109375" style="252" customWidth="1"/>
    <col min="10299" max="10300" width="14.7109375" style="252" customWidth="1"/>
    <col min="10301" max="10301" width="16.5703125" style="252" customWidth="1"/>
    <col min="10302" max="10302" width="18.140625" style="252" customWidth="1"/>
    <col min="10303" max="10512" width="9.140625" style="252"/>
    <col min="10513" max="10513" width="3.140625" style="252" customWidth="1"/>
    <col min="10514" max="10514" width="13.42578125" style="252" customWidth="1"/>
    <col min="10515" max="10515" width="26.28515625" style="252" customWidth="1"/>
    <col min="10516" max="10517" width="17.7109375" style="252" customWidth="1"/>
    <col min="10518" max="10518" width="20.7109375" style="252" customWidth="1"/>
    <col min="10519" max="10520" width="14.7109375" style="252" customWidth="1"/>
    <col min="10521" max="10521" width="16.42578125" style="252" customWidth="1"/>
    <col min="10522" max="10523" width="14.7109375" style="252" customWidth="1"/>
    <col min="10524" max="10524" width="16.7109375" style="252" customWidth="1"/>
    <col min="10525" max="10526" width="14.7109375" style="252" customWidth="1"/>
    <col min="10527" max="10527" width="16.7109375" style="252" customWidth="1"/>
    <col min="10528" max="10529" width="14.7109375" style="252" customWidth="1"/>
    <col min="10530" max="10530" width="16.140625" style="252" customWidth="1"/>
    <col min="10531" max="10532" width="14.7109375" style="252" customWidth="1"/>
    <col min="10533" max="10533" width="15.7109375" style="252" customWidth="1"/>
    <col min="10534" max="10535" width="14.7109375" style="252" customWidth="1"/>
    <col min="10536" max="10536" width="16.7109375" style="252" customWidth="1"/>
    <col min="10537" max="10538" width="14.7109375" style="252" customWidth="1"/>
    <col min="10539" max="10539" width="17.7109375" style="252" customWidth="1"/>
    <col min="10540" max="10541" width="14.7109375" style="252" customWidth="1"/>
    <col min="10542" max="10542" width="16.7109375" style="252" customWidth="1"/>
    <col min="10543" max="10547" width="14.7109375" style="252" customWidth="1"/>
    <col min="10548" max="10548" width="16.5703125" style="252" customWidth="1"/>
    <col min="10549" max="10549" width="14.28515625" style="252" customWidth="1"/>
    <col min="10550" max="10550" width="15" style="252" customWidth="1"/>
    <col min="10551" max="10551" width="16.5703125" style="252" customWidth="1"/>
    <col min="10552" max="10553" width="14.7109375" style="252" customWidth="1"/>
    <col min="10554" max="10554" width="16.7109375" style="252" customWidth="1"/>
    <col min="10555" max="10556" width="14.7109375" style="252" customWidth="1"/>
    <col min="10557" max="10557" width="16.5703125" style="252" customWidth="1"/>
    <col min="10558" max="10558" width="18.140625" style="252" customWidth="1"/>
    <col min="10559" max="10768" width="9.140625" style="252"/>
    <col min="10769" max="10769" width="3.140625" style="252" customWidth="1"/>
    <col min="10770" max="10770" width="13.42578125" style="252" customWidth="1"/>
    <col min="10771" max="10771" width="26.28515625" style="252" customWidth="1"/>
    <col min="10772" max="10773" width="17.7109375" style="252" customWidth="1"/>
    <col min="10774" max="10774" width="20.7109375" style="252" customWidth="1"/>
    <col min="10775" max="10776" width="14.7109375" style="252" customWidth="1"/>
    <col min="10777" max="10777" width="16.42578125" style="252" customWidth="1"/>
    <col min="10778" max="10779" width="14.7109375" style="252" customWidth="1"/>
    <col min="10780" max="10780" width="16.7109375" style="252" customWidth="1"/>
    <col min="10781" max="10782" width="14.7109375" style="252" customWidth="1"/>
    <col min="10783" max="10783" width="16.7109375" style="252" customWidth="1"/>
    <col min="10784" max="10785" width="14.7109375" style="252" customWidth="1"/>
    <col min="10786" max="10786" width="16.140625" style="252" customWidth="1"/>
    <col min="10787" max="10788" width="14.7109375" style="252" customWidth="1"/>
    <col min="10789" max="10789" width="15.7109375" style="252" customWidth="1"/>
    <col min="10790" max="10791" width="14.7109375" style="252" customWidth="1"/>
    <col min="10792" max="10792" width="16.7109375" style="252" customWidth="1"/>
    <col min="10793" max="10794" width="14.7109375" style="252" customWidth="1"/>
    <col min="10795" max="10795" width="17.7109375" style="252" customWidth="1"/>
    <col min="10796" max="10797" width="14.7109375" style="252" customWidth="1"/>
    <col min="10798" max="10798" width="16.7109375" style="252" customWidth="1"/>
    <col min="10799" max="10803" width="14.7109375" style="252" customWidth="1"/>
    <col min="10804" max="10804" width="16.5703125" style="252" customWidth="1"/>
    <col min="10805" max="10805" width="14.28515625" style="252" customWidth="1"/>
    <col min="10806" max="10806" width="15" style="252" customWidth="1"/>
    <col min="10807" max="10807" width="16.5703125" style="252" customWidth="1"/>
    <col min="10808" max="10809" width="14.7109375" style="252" customWidth="1"/>
    <col min="10810" max="10810" width="16.7109375" style="252" customWidth="1"/>
    <col min="10811" max="10812" width="14.7109375" style="252" customWidth="1"/>
    <col min="10813" max="10813" width="16.5703125" style="252" customWidth="1"/>
    <col min="10814" max="10814" width="18.140625" style="252" customWidth="1"/>
    <col min="10815" max="11024" width="9.140625" style="252"/>
    <col min="11025" max="11025" width="3.140625" style="252" customWidth="1"/>
    <col min="11026" max="11026" width="13.42578125" style="252" customWidth="1"/>
    <col min="11027" max="11027" width="26.28515625" style="252" customWidth="1"/>
    <col min="11028" max="11029" width="17.7109375" style="252" customWidth="1"/>
    <col min="11030" max="11030" width="20.7109375" style="252" customWidth="1"/>
    <col min="11031" max="11032" width="14.7109375" style="252" customWidth="1"/>
    <col min="11033" max="11033" width="16.42578125" style="252" customWidth="1"/>
    <col min="11034" max="11035" width="14.7109375" style="252" customWidth="1"/>
    <col min="11036" max="11036" width="16.7109375" style="252" customWidth="1"/>
    <col min="11037" max="11038" width="14.7109375" style="252" customWidth="1"/>
    <col min="11039" max="11039" width="16.7109375" style="252" customWidth="1"/>
    <col min="11040" max="11041" width="14.7109375" style="252" customWidth="1"/>
    <col min="11042" max="11042" width="16.140625" style="252" customWidth="1"/>
    <col min="11043" max="11044" width="14.7109375" style="252" customWidth="1"/>
    <col min="11045" max="11045" width="15.7109375" style="252" customWidth="1"/>
    <col min="11046" max="11047" width="14.7109375" style="252" customWidth="1"/>
    <col min="11048" max="11048" width="16.7109375" style="252" customWidth="1"/>
    <col min="11049" max="11050" width="14.7109375" style="252" customWidth="1"/>
    <col min="11051" max="11051" width="17.7109375" style="252" customWidth="1"/>
    <col min="11052" max="11053" width="14.7109375" style="252" customWidth="1"/>
    <col min="11054" max="11054" width="16.7109375" style="252" customWidth="1"/>
    <col min="11055" max="11059" width="14.7109375" style="252" customWidth="1"/>
    <col min="11060" max="11060" width="16.5703125" style="252" customWidth="1"/>
    <col min="11061" max="11061" width="14.28515625" style="252" customWidth="1"/>
    <col min="11062" max="11062" width="15" style="252" customWidth="1"/>
    <col min="11063" max="11063" width="16.5703125" style="252" customWidth="1"/>
    <col min="11064" max="11065" width="14.7109375" style="252" customWidth="1"/>
    <col min="11066" max="11066" width="16.7109375" style="252" customWidth="1"/>
    <col min="11067" max="11068" width="14.7109375" style="252" customWidth="1"/>
    <col min="11069" max="11069" width="16.5703125" style="252" customWidth="1"/>
    <col min="11070" max="11070" width="18.140625" style="252" customWidth="1"/>
    <col min="11071" max="11280" width="9.140625" style="252"/>
    <col min="11281" max="11281" width="3.140625" style="252" customWidth="1"/>
    <col min="11282" max="11282" width="13.42578125" style="252" customWidth="1"/>
    <col min="11283" max="11283" width="26.28515625" style="252" customWidth="1"/>
    <col min="11284" max="11285" width="17.7109375" style="252" customWidth="1"/>
    <col min="11286" max="11286" width="20.7109375" style="252" customWidth="1"/>
    <col min="11287" max="11288" width="14.7109375" style="252" customWidth="1"/>
    <col min="11289" max="11289" width="16.42578125" style="252" customWidth="1"/>
    <col min="11290" max="11291" width="14.7109375" style="252" customWidth="1"/>
    <col min="11292" max="11292" width="16.7109375" style="252" customWidth="1"/>
    <col min="11293" max="11294" width="14.7109375" style="252" customWidth="1"/>
    <col min="11295" max="11295" width="16.7109375" style="252" customWidth="1"/>
    <col min="11296" max="11297" width="14.7109375" style="252" customWidth="1"/>
    <col min="11298" max="11298" width="16.140625" style="252" customWidth="1"/>
    <col min="11299" max="11300" width="14.7109375" style="252" customWidth="1"/>
    <col min="11301" max="11301" width="15.7109375" style="252" customWidth="1"/>
    <col min="11302" max="11303" width="14.7109375" style="252" customWidth="1"/>
    <col min="11304" max="11304" width="16.7109375" style="252" customWidth="1"/>
    <col min="11305" max="11306" width="14.7109375" style="252" customWidth="1"/>
    <col min="11307" max="11307" width="17.7109375" style="252" customWidth="1"/>
    <col min="11308" max="11309" width="14.7109375" style="252" customWidth="1"/>
    <col min="11310" max="11310" width="16.7109375" style="252" customWidth="1"/>
    <col min="11311" max="11315" width="14.7109375" style="252" customWidth="1"/>
    <col min="11316" max="11316" width="16.5703125" style="252" customWidth="1"/>
    <col min="11317" max="11317" width="14.28515625" style="252" customWidth="1"/>
    <col min="11318" max="11318" width="15" style="252" customWidth="1"/>
    <col min="11319" max="11319" width="16.5703125" style="252" customWidth="1"/>
    <col min="11320" max="11321" width="14.7109375" style="252" customWidth="1"/>
    <col min="11322" max="11322" width="16.7109375" style="252" customWidth="1"/>
    <col min="11323" max="11324" width="14.7109375" style="252" customWidth="1"/>
    <col min="11325" max="11325" width="16.5703125" style="252" customWidth="1"/>
    <col min="11326" max="11326" width="18.140625" style="252" customWidth="1"/>
    <col min="11327" max="11536" width="9.140625" style="252"/>
    <col min="11537" max="11537" width="3.140625" style="252" customWidth="1"/>
    <col min="11538" max="11538" width="13.42578125" style="252" customWidth="1"/>
    <col min="11539" max="11539" width="26.28515625" style="252" customWidth="1"/>
    <col min="11540" max="11541" width="17.7109375" style="252" customWidth="1"/>
    <col min="11542" max="11542" width="20.7109375" style="252" customWidth="1"/>
    <col min="11543" max="11544" width="14.7109375" style="252" customWidth="1"/>
    <col min="11545" max="11545" width="16.42578125" style="252" customWidth="1"/>
    <col min="11546" max="11547" width="14.7109375" style="252" customWidth="1"/>
    <col min="11548" max="11548" width="16.7109375" style="252" customWidth="1"/>
    <col min="11549" max="11550" width="14.7109375" style="252" customWidth="1"/>
    <col min="11551" max="11551" width="16.7109375" style="252" customWidth="1"/>
    <col min="11552" max="11553" width="14.7109375" style="252" customWidth="1"/>
    <col min="11554" max="11554" width="16.140625" style="252" customWidth="1"/>
    <col min="11555" max="11556" width="14.7109375" style="252" customWidth="1"/>
    <col min="11557" max="11557" width="15.7109375" style="252" customWidth="1"/>
    <col min="11558" max="11559" width="14.7109375" style="252" customWidth="1"/>
    <col min="11560" max="11560" width="16.7109375" style="252" customWidth="1"/>
    <col min="11561" max="11562" width="14.7109375" style="252" customWidth="1"/>
    <col min="11563" max="11563" width="17.7109375" style="252" customWidth="1"/>
    <col min="11564" max="11565" width="14.7109375" style="252" customWidth="1"/>
    <col min="11566" max="11566" width="16.7109375" style="252" customWidth="1"/>
    <col min="11567" max="11571" width="14.7109375" style="252" customWidth="1"/>
    <col min="11572" max="11572" width="16.5703125" style="252" customWidth="1"/>
    <col min="11573" max="11573" width="14.28515625" style="252" customWidth="1"/>
    <col min="11574" max="11574" width="15" style="252" customWidth="1"/>
    <col min="11575" max="11575" width="16.5703125" style="252" customWidth="1"/>
    <col min="11576" max="11577" width="14.7109375" style="252" customWidth="1"/>
    <col min="11578" max="11578" width="16.7109375" style="252" customWidth="1"/>
    <col min="11579" max="11580" width="14.7109375" style="252" customWidth="1"/>
    <col min="11581" max="11581" width="16.5703125" style="252" customWidth="1"/>
    <col min="11582" max="11582" width="18.140625" style="252" customWidth="1"/>
    <col min="11583" max="11792" width="9.140625" style="252"/>
    <col min="11793" max="11793" width="3.140625" style="252" customWidth="1"/>
    <col min="11794" max="11794" width="13.42578125" style="252" customWidth="1"/>
    <col min="11795" max="11795" width="26.28515625" style="252" customWidth="1"/>
    <col min="11796" max="11797" width="17.7109375" style="252" customWidth="1"/>
    <col min="11798" max="11798" width="20.7109375" style="252" customWidth="1"/>
    <col min="11799" max="11800" width="14.7109375" style="252" customWidth="1"/>
    <col min="11801" max="11801" width="16.42578125" style="252" customWidth="1"/>
    <col min="11802" max="11803" width="14.7109375" style="252" customWidth="1"/>
    <col min="11804" max="11804" width="16.7109375" style="252" customWidth="1"/>
    <col min="11805" max="11806" width="14.7109375" style="252" customWidth="1"/>
    <col min="11807" max="11807" width="16.7109375" style="252" customWidth="1"/>
    <col min="11808" max="11809" width="14.7109375" style="252" customWidth="1"/>
    <col min="11810" max="11810" width="16.140625" style="252" customWidth="1"/>
    <col min="11811" max="11812" width="14.7109375" style="252" customWidth="1"/>
    <col min="11813" max="11813" width="15.7109375" style="252" customWidth="1"/>
    <col min="11814" max="11815" width="14.7109375" style="252" customWidth="1"/>
    <col min="11816" max="11816" width="16.7109375" style="252" customWidth="1"/>
    <col min="11817" max="11818" width="14.7109375" style="252" customWidth="1"/>
    <col min="11819" max="11819" width="17.7109375" style="252" customWidth="1"/>
    <col min="11820" max="11821" width="14.7109375" style="252" customWidth="1"/>
    <col min="11822" max="11822" width="16.7109375" style="252" customWidth="1"/>
    <col min="11823" max="11827" width="14.7109375" style="252" customWidth="1"/>
    <col min="11828" max="11828" width="16.5703125" style="252" customWidth="1"/>
    <col min="11829" max="11829" width="14.28515625" style="252" customWidth="1"/>
    <col min="11830" max="11830" width="15" style="252" customWidth="1"/>
    <col min="11831" max="11831" width="16.5703125" style="252" customWidth="1"/>
    <col min="11832" max="11833" width="14.7109375" style="252" customWidth="1"/>
    <col min="11834" max="11834" width="16.7109375" style="252" customWidth="1"/>
    <col min="11835" max="11836" width="14.7109375" style="252" customWidth="1"/>
    <col min="11837" max="11837" width="16.5703125" style="252" customWidth="1"/>
    <col min="11838" max="11838" width="18.140625" style="252" customWidth="1"/>
    <col min="11839" max="12048" width="9.140625" style="252"/>
    <col min="12049" max="12049" width="3.140625" style="252" customWidth="1"/>
    <col min="12050" max="12050" width="13.42578125" style="252" customWidth="1"/>
    <col min="12051" max="12051" width="26.28515625" style="252" customWidth="1"/>
    <col min="12052" max="12053" width="17.7109375" style="252" customWidth="1"/>
    <col min="12054" max="12054" width="20.7109375" style="252" customWidth="1"/>
    <col min="12055" max="12056" width="14.7109375" style="252" customWidth="1"/>
    <col min="12057" max="12057" width="16.42578125" style="252" customWidth="1"/>
    <col min="12058" max="12059" width="14.7109375" style="252" customWidth="1"/>
    <col min="12060" max="12060" width="16.7109375" style="252" customWidth="1"/>
    <col min="12061" max="12062" width="14.7109375" style="252" customWidth="1"/>
    <col min="12063" max="12063" width="16.7109375" style="252" customWidth="1"/>
    <col min="12064" max="12065" width="14.7109375" style="252" customWidth="1"/>
    <col min="12066" max="12066" width="16.140625" style="252" customWidth="1"/>
    <col min="12067" max="12068" width="14.7109375" style="252" customWidth="1"/>
    <col min="12069" max="12069" width="15.7109375" style="252" customWidth="1"/>
    <col min="12070" max="12071" width="14.7109375" style="252" customWidth="1"/>
    <col min="12072" max="12072" width="16.7109375" style="252" customWidth="1"/>
    <col min="12073" max="12074" width="14.7109375" style="252" customWidth="1"/>
    <col min="12075" max="12075" width="17.7109375" style="252" customWidth="1"/>
    <col min="12076" max="12077" width="14.7109375" style="252" customWidth="1"/>
    <col min="12078" max="12078" width="16.7109375" style="252" customWidth="1"/>
    <col min="12079" max="12083" width="14.7109375" style="252" customWidth="1"/>
    <col min="12084" max="12084" width="16.5703125" style="252" customWidth="1"/>
    <col min="12085" max="12085" width="14.28515625" style="252" customWidth="1"/>
    <col min="12086" max="12086" width="15" style="252" customWidth="1"/>
    <col min="12087" max="12087" width="16.5703125" style="252" customWidth="1"/>
    <col min="12088" max="12089" width="14.7109375" style="252" customWidth="1"/>
    <col min="12090" max="12090" width="16.7109375" style="252" customWidth="1"/>
    <col min="12091" max="12092" width="14.7109375" style="252" customWidth="1"/>
    <col min="12093" max="12093" width="16.5703125" style="252" customWidth="1"/>
    <col min="12094" max="12094" width="18.140625" style="252" customWidth="1"/>
    <col min="12095" max="12304" width="9.140625" style="252"/>
    <col min="12305" max="12305" width="3.140625" style="252" customWidth="1"/>
    <col min="12306" max="12306" width="13.42578125" style="252" customWidth="1"/>
    <col min="12307" max="12307" width="26.28515625" style="252" customWidth="1"/>
    <col min="12308" max="12309" width="17.7109375" style="252" customWidth="1"/>
    <col min="12310" max="12310" width="20.7109375" style="252" customWidth="1"/>
    <col min="12311" max="12312" width="14.7109375" style="252" customWidth="1"/>
    <col min="12313" max="12313" width="16.42578125" style="252" customWidth="1"/>
    <col min="12314" max="12315" width="14.7109375" style="252" customWidth="1"/>
    <col min="12316" max="12316" width="16.7109375" style="252" customWidth="1"/>
    <col min="12317" max="12318" width="14.7109375" style="252" customWidth="1"/>
    <col min="12319" max="12319" width="16.7109375" style="252" customWidth="1"/>
    <col min="12320" max="12321" width="14.7109375" style="252" customWidth="1"/>
    <col min="12322" max="12322" width="16.140625" style="252" customWidth="1"/>
    <col min="12323" max="12324" width="14.7109375" style="252" customWidth="1"/>
    <col min="12325" max="12325" width="15.7109375" style="252" customWidth="1"/>
    <col min="12326" max="12327" width="14.7109375" style="252" customWidth="1"/>
    <col min="12328" max="12328" width="16.7109375" style="252" customWidth="1"/>
    <col min="12329" max="12330" width="14.7109375" style="252" customWidth="1"/>
    <col min="12331" max="12331" width="17.7109375" style="252" customWidth="1"/>
    <col min="12332" max="12333" width="14.7109375" style="252" customWidth="1"/>
    <col min="12334" max="12334" width="16.7109375" style="252" customWidth="1"/>
    <col min="12335" max="12339" width="14.7109375" style="252" customWidth="1"/>
    <col min="12340" max="12340" width="16.5703125" style="252" customWidth="1"/>
    <col min="12341" max="12341" width="14.28515625" style="252" customWidth="1"/>
    <col min="12342" max="12342" width="15" style="252" customWidth="1"/>
    <col min="12343" max="12343" width="16.5703125" style="252" customWidth="1"/>
    <col min="12344" max="12345" width="14.7109375" style="252" customWidth="1"/>
    <col min="12346" max="12346" width="16.7109375" style="252" customWidth="1"/>
    <col min="12347" max="12348" width="14.7109375" style="252" customWidth="1"/>
    <col min="12349" max="12349" width="16.5703125" style="252" customWidth="1"/>
    <col min="12350" max="12350" width="18.140625" style="252" customWidth="1"/>
    <col min="12351" max="12560" width="9.140625" style="252"/>
    <col min="12561" max="12561" width="3.140625" style="252" customWidth="1"/>
    <col min="12562" max="12562" width="13.42578125" style="252" customWidth="1"/>
    <col min="12563" max="12563" width="26.28515625" style="252" customWidth="1"/>
    <col min="12564" max="12565" width="17.7109375" style="252" customWidth="1"/>
    <col min="12566" max="12566" width="20.7109375" style="252" customWidth="1"/>
    <col min="12567" max="12568" width="14.7109375" style="252" customWidth="1"/>
    <col min="12569" max="12569" width="16.42578125" style="252" customWidth="1"/>
    <col min="12570" max="12571" width="14.7109375" style="252" customWidth="1"/>
    <col min="12572" max="12572" width="16.7109375" style="252" customWidth="1"/>
    <col min="12573" max="12574" width="14.7109375" style="252" customWidth="1"/>
    <col min="12575" max="12575" width="16.7109375" style="252" customWidth="1"/>
    <col min="12576" max="12577" width="14.7109375" style="252" customWidth="1"/>
    <col min="12578" max="12578" width="16.140625" style="252" customWidth="1"/>
    <col min="12579" max="12580" width="14.7109375" style="252" customWidth="1"/>
    <col min="12581" max="12581" width="15.7109375" style="252" customWidth="1"/>
    <col min="12582" max="12583" width="14.7109375" style="252" customWidth="1"/>
    <col min="12584" max="12584" width="16.7109375" style="252" customWidth="1"/>
    <col min="12585" max="12586" width="14.7109375" style="252" customWidth="1"/>
    <col min="12587" max="12587" width="17.7109375" style="252" customWidth="1"/>
    <col min="12588" max="12589" width="14.7109375" style="252" customWidth="1"/>
    <col min="12590" max="12590" width="16.7109375" style="252" customWidth="1"/>
    <col min="12591" max="12595" width="14.7109375" style="252" customWidth="1"/>
    <col min="12596" max="12596" width="16.5703125" style="252" customWidth="1"/>
    <col min="12597" max="12597" width="14.28515625" style="252" customWidth="1"/>
    <col min="12598" max="12598" width="15" style="252" customWidth="1"/>
    <col min="12599" max="12599" width="16.5703125" style="252" customWidth="1"/>
    <col min="12600" max="12601" width="14.7109375" style="252" customWidth="1"/>
    <col min="12602" max="12602" width="16.7109375" style="252" customWidth="1"/>
    <col min="12603" max="12604" width="14.7109375" style="252" customWidth="1"/>
    <col min="12605" max="12605" width="16.5703125" style="252" customWidth="1"/>
    <col min="12606" max="12606" width="18.140625" style="252" customWidth="1"/>
    <col min="12607" max="12816" width="9.140625" style="252"/>
    <col min="12817" max="12817" width="3.140625" style="252" customWidth="1"/>
    <col min="12818" max="12818" width="13.42578125" style="252" customWidth="1"/>
    <col min="12819" max="12819" width="26.28515625" style="252" customWidth="1"/>
    <col min="12820" max="12821" width="17.7109375" style="252" customWidth="1"/>
    <col min="12822" max="12822" width="20.7109375" style="252" customWidth="1"/>
    <col min="12823" max="12824" width="14.7109375" style="252" customWidth="1"/>
    <col min="12825" max="12825" width="16.42578125" style="252" customWidth="1"/>
    <col min="12826" max="12827" width="14.7109375" style="252" customWidth="1"/>
    <col min="12828" max="12828" width="16.7109375" style="252" customWidth="1"/>
    <col min="12829" max="12830" width="14.7109375" style="252" customWidth="1"/>
    <col min="12831" max="12831" width="16.7109375" style="252" customWidth="1"/>
    <col min="12832" max="12833" width="14.7109375" style="252" customWidth="1"/>
    <col min="12834" max="12834" width="16.140625" style="252" customWidth="1"/>
    <col min="12835" max="12836" width="14.7109375" style="252" customWidth="1"/>
    <col min="12837" max="12837" width="15.7109375" style="252" customWidth="1"/>
    <col min="12838" max="12839" width="14.7109375" style="252" customWidth="1"/>
    <col min="12840" max="12840" width="16.7109375" style="252" customWidth="1"/>
    <col min="12841" max="12842" width="14.7109375" style="252" customWidth="1"/>
    <col min="12843" max="12843" width="17.7109375" style="252" customWidth="1"/>
    <col min="12844" max="12845" width="14.7109375" style="252" customWidth="1"/>
    <col min="12846" max="12846" width="16.7109375" style="252" customWidth="1"/>
    <col min="12847" max="12851" width="14.7109375" style="252" customWidth="1"/>
    <col min="12852" max="12852" width="16.5703125" style="252" customWidth="1"/>
    <col min="12853" max="12853" width="14.28515625" style="252" customWidth="1"/>
    <col min="12854" max="12854" width="15" style="252" customWidth="1"/>
    <col min="12855" max="12855" width="16.5703125" style="252" customWidth="1"/>
    <col min="12856" max="12857" width="14.7109375" style="252" customWidth="1"/>
    <col min="12858" max="12858" width="16.7109375" style="252" customWidth="1"/>
    <col min="12859" max="12860" width="14.7109375" style="252" customWidth="1"/>
    <col min="12861" max="12861" width="16.5703125" style="252" customWidth="1"/>
    <col min="12862" max="12862" width="18.140625" style="252" customWidth="1"/>
    <col min="12863" max="13072" width="9.140625" style="252"/>
    <col min="13073" max="13073" width="3.140625" style="252" customWidth="1"/>
    <col min="13074" max="13074" width="13.42578125" style="252" customWidth="1"/>
    <col min="13075" max="13075" width="26.28515625" style="252" customWidth="1"/>
    <col min="13076" max="13077" width="17.7109375" style="252" customWidth="1"/>
    <col min="13078" max="13078" width="20.7109375" style="252" customWidth="1"/>
    <col min="13079" max="13080" width="14.7109375" style="252" customWidth="1"/>
    <col min="13081" max="13081" width="16.42578125" style="252" customWidth="1"/>
    <col min="13082" max="13083" width="14.7109375" style="252" customWidth="1"/>
    <col min="13084" max="13084" width="16.7109375" style="252" customWidth="1"/>
    <col min="13085" max="13086" width="14.7109375" style="252" customWidth="1"/>
    <col min="13087" max="13087" width="16.7109375" style="252" customWidth="1"/>
    <col min="13088" max="13089" width="14.7109375" style="252" customWidth="1"/>
    <col min="13090" max="13090" width="16.140625" style="252" customWidth="1"/>
    <col min="13091" max="13092" width="14.7109375" style="252" customWidth="1"/>
    <col min="13093" max="13093" width="15.7109375" style="252" customWidth="1"/>
    <col min="13094" max="13095" width="14.7109375" style="252" customWidth="1"/>
    <col min="13096" max="13096" width="16.7109375" style="252" customWidth="1"/>
    <col min="13097" max="13098" width="14.7109375" style="252" customWidth="1"/>
    <col min="13099" max="13099" width="17.7109375" style="252" customWidth="1"/>
    <col min="13100" max="13101" width="14.7109375" style="252" customWidth="1"/>
    <col min="13102" max="13102" width="16.7109375" style="252" customWidth="1"/>
    <col min="13103" max="13107" width="14.7109375" style="252" customWidth="1"/>
    <col min="13108" max="13108" width="16.5703125" style="252" customWidth="1"/>
    <col min="13109" max="13109" width="14.28515625" style="252" customWidth="1"/>
    <col min="13110" max="13110" width="15" style="252" customWidth="1"/>
    <col min="13111" max="13111" width="16.5703125" style="252" customWidth="1"/>
    <col min="13112" max="13113" width="14.7109375" style="252" customWidth="1"/>
    <col min="13114" max="13114" width="16.7109375" style="252" customWidth="1"/>
    <col min="13115" max="13116" width="14.7109375" style="252" customWidth="1"/>
    <col min="13117" max="13117" width="16.5703125" style="252" customWidth="1"/>
    <col min="13118" max="13118" width="18.140625" style="252" customWidth="1"/>
    <col min="13119" max="13328" width="9.140625" style="252"/>
    <col min="13329" max="13329" width="3.140625" style="252" customWidth="1"/>
    <col min="13330" max="13330" width="13.42578125" style="252" customWidth="1"/>
    <col min="13331" max="13331" width="26.28515625" style="252" customWidth="1"/>
    <col min="13332" max="13333" width="17.7109375" style="252" customWidth="1"/>
    <col min="13334" max="13334" width="20.7109375" style="252" customWidth="1"/>
    <col min="13335" max="13336" width="14.7109375" style="252" customWidth="1"/>
    <col min="13337" max="13337" width="16.42578125" style="252" customWidth="1"/>
    <col min="13338" max="13339" width="14.7109375" style="252" customWidth="1"/>
    <col min="13340" max="13340" width="16.7109375" style="252" customWidth="1"/>
    <col min="13341" max="13342" width="14.7109375" style="252" customWidth="1"/>
    <col min="13343" max="13343" width="16.7109375" style="252" customWidth="1"/>
    <col min="13344" max="13345" width="14.7109375" style="252" customWidth="1"/>
    <col min="13346" max="13346" width="16.140625" style="252" customWidth="1"/>
    <col min="13347" max="13348" width="14.7109375" style="252" customWidth="1"/>
    <col min="13349" max="13349" width="15.7109375" style="252" customWidth="1"/>
    <col min="13350" max="13351" width="14.7109375" style="252" customWidth="1"/>
    <col min="13352" max="13352" width="16.7109375" style="252" customWidth="1"/>
    <col min="13353" max="13354" width="14.7109375" style="252" customWidth="1"/>
    <col min="13355" max="13355" width="17.7109375" style="252" customWidth="1"/>
    <col min="13356" max="13357" width="14.7109375" style="252" customWidth="1"/>
    <col min="13358" max="13358" width="16.7109375" style="252" customWidth="1"/>
    <col min="13359" max="13363" width="14.7109375" style="252" customWidth="1"/>
    <col min="13364" max="13364" width="16.5703125" style="252" customWidth="1"/>
    <col min="13365" max="13365" width="14.28515625" style="252" customWidth="1"/>
    <col min="13366" max="13366" width="15" style="252" customWidth="1"/>
    <col min="13367" max="13367" width="16.5703125" style="252" customWidth="1"/>
    <col min="13368" max="13369" width="14.7109375" style="252" customWidth="1"/>
    <col min="13370" max="13370" width="16.7109375" style="252" customWidth="1"/>
    <col min="13371" max="13372" width="14.7109375" style="252" customWidth="1"/>
    <col min="13373" max="13373" width="16.5703125" style="252" customWidth="1"/>
    <col min="13374" max="13374" width="18.140625" style="252" customWidth="1"/>
    <col min="13375" max="13584" width="9.140625" style="252"/>
    <col min="13585" max="13585" width="3.140625" style="252" customWidth="1"/>
    <col min="13586" max="13586" width="13.42578125" style="252" customWidth="1"/>
    <col min="13587" max="13587" width="26.28515625" style="252" customWidth="1"/>
    <col min="13588" max="13589" width="17.7109375" style="252" customWidth="1"/>
    <col min="13590" max="13590" width="20.7109375" style="252" customWidth="1"/>
    <col min="13591" max="13592" width="14.7109375" style="252" customWidth="1"/>
    <col min="13593" max="13593" width="16.42578125" style="252" customWidth="1"/>
    <col min="13594" max="13595" width="14.7109375" style="252" customWidth="1"/>
    <col min="13596" max="13596" width="16.7109375" style="252" customWidth="1"/>
    <col min="13597" max="13598" width="14.7109375" style="252" customWidth="1"/>
    <col min="13599" max="13599" width="16.7109375" style="252" customWidth="1"/>
    <col min="13600" max="13601" width="14.7109375" style="252" customWidth="1"/>
    <col min="13602" max="13602" width="16.140625" style="252" customWidth="1"/>
    <col min="13603" max="13604" width="14.7109375" style="252" customWidth="1"/>
    <col min="13605" max="13605" width="15.7109375" style="252" customWidth="1"/>
    <col min="13606" max="13607" width="14.7109375" style="252" customWidth="1"/>
    <col min="13608" max="13608" width="16.7109375" style="252" customWidth="1"/>
    <col min="13609" max="13610" width="14.7109375" style="252" customWidth="1"/>
    <col min="13611" max="13611" width="17.7109375" style="252" customWidth="1"/>
    <col min="13612" max="13613" width="14.7109375" style="252" customWidth="1"/>
    <col min="13614" max="13614" width="16.7109375" style="252" customWidth="1"/>
    <col min="13615" max="13619" width="14.7109375" style="252" customWidth="1"/>
    <col min="13620" max="13620" width="16.5703125" style="252" customWidth="1"/>
    <col min="13621" max="13621" width="14.28515625" style="252" customWidth="1"/>
    <col min="13622" max="13622" width="15" style="252" customWidth="1"/>
    <col min="13623" max="13623" width="16.5703125" style="252" customWidth="1"/>
    <col min="13624" max="13625" width="14.7109375" style="252" customWidth="1"/>
    <col min="13626" max="13626" width="16.7109375" style="252" customWidth="1"/>
    <col min="13627" max="13628" width="14.7109375" style="252" customWidth="1"/>
    <col min="13629" max="13629" width="16.5703125" style="252" customWidth="1"/>
    <col min="13630" max="13630" width="18.140625" style="252" customWidth="1"/>
    <col min="13631" max="13840" width="9.140625" style="252"/>
    <col min="13841" max="13841" width="3.140625" style="252" customWidth="1"/>
    <col min="13842" max="13842" width="13.42578125" style="252" customWidth="1"/>
    <col min="13843" max="13843" width="26.28515625" style="252" customWidth="1"/>
    <col min="13844" max="13845" width="17.7109375" style="252" customWidth="1"/>
    <col min="13846" max="13846" width="20.7109375" style="252" customWidth="1"/>
    <col min="13847" max="13848" width="14.7109375" style="252" customWidth="1"/>
    <col min="13849" max="13849" width="16.42578125" style="252" customWidth="1"/>
    <col min="13850" max="13851" width="14.7109375" style="252" customWidth="1"/>
    <col min="13852" max="13852" width="16.7109375" style="252" customWidth="1"/>
    <col min="13853" max="13854" width="14.7109375" style="252" customWidth="1"/>
    <col min="13855" max="13855" width="16.7109375" style="252" customWidth="1"/>
    <col min="13856" max="13857" width="14.7109375" style="252" customWidth="1"/>
    <col min="13858" max="13858" width="16.140625" style="252" customWidth="1"/>
    <col min="13859" max="13860" width="14.7109375" style="252" customWidth="1"/>
    <col min="13861" max="13861" width="15.7109375" style="252" customWidth="1"/>
    <col min="13862" max="13863" width="14.7109375" style="252" customWidth="1"/>
    <col min="13864" max="13864" width="16.7109375" style="252" customWidth="1"/>
    <col min="13865" max="13866" width="14.7109375" style="252" customWidth="1"/>
    <col min="13867" max="13867" width="17.7109375" style="252" customWidth="1"/>
    <col min="13868" max="13869" width="14.7109375" style="252" customWidth="1"/>
    <col min="13870" max="13870" width="16.7109375" style="252" customWidth="1"/>
    <col min="13871" max="13875" width="14.7109375" style="252" customWidth="1"/>
    <col min="13876" max="13876" width="16.5703125" style="252" customWidth="1"/>
    <col min="13877" max="13877" width="14.28515625" style="252" customWidth="1"/>
    <col min="13878" max="13878" width="15" style="252" customWidth="1"/>
    <col min="13879" max="13879" width="16.5703125" style="252" customWidth="1"/>
    <col min="13880" max="13881" width="14.7109375" style="252" customWidth="1"/>
    <col min="13882" max="13882" width="16.7109375" style="252" customWidth="1"/>
    <col min="13883" max="13884" width="14.7109375" style="252" customWidth="1"/>
    <col min="13885" max="13885" width="16.5703125" style="252" customWidth="1"/>
    <col min="13886" max="13886" width="18.140625" style="252" customWidth="1"/>
    <col min="13887" max="14096" width="9.140625" style="252"/>
    <col min="14097" max="14097" width="3.140625" style="252" customWidth="1"/>
    <col min="14098" max="14098" width="13.42578125" style="252" customWidth="1"/>
    <col min="14099" max="14099" width="26.28515625" style="252" customWidth="1"/>
    <col min="14100" max="14101" width="17.7109375" style="252" customWidth="1"/>
    <col min="14102" max="14102" width="20.7109375" style="252" customWidth="1"/>
    <col min="14103" max="14104" width="14.7109375" style="252" customWidth="1"/>
    <col min="14105" max="14105" width="16.42578125" style="252" customWidth="1"/>
    <col min="14106" max="14107" width="14.7109375" style="252" customWidth="1"/>
    <col min="14108" max="14108" width="16.7109375" style="252" customWidth="1"/>
    <col min="14109" max="14110" width="14.7109375" style="252" customWidth="1"/>
    <col min="14111" max="14111" width="16.7109375" style="252" customWidth="1"/>
    <col min="14112" max="14113" width="14.7109375" style="252" customWidth="1"/>
    <col min="14114" max="14114" width="16.140625" style="252" customWidth="1"/>
    <col min="14115" max="14116" width="14.7109375" style="252" customWidth="1"/>
    <col min="14117" max="14117" width="15.7109375" style="252" customWidth="1"/>
    <col min="14118" max="14119" width="14.7109375" style="252" customWidth="1"/>
    <col min="14120" max="14120" width="16.7109375" style="252" customWidth="1"/>
    <col min="14121" max="14122" width="14.7109375" style="252" customWidth="1"/>
    <col min="14123" max="14123" width="17.7109375" style="252" customWidth="1"/>
    <col min="14124" max="14125" width="14.7109375" style="252" customWidth="1"/>
    <col min="14126" max="14126" width="16.7109375" style="252" customWidth="1"/>
    <col min="14127" max="14131" width="14.7109375" style="252" customWidth="1"/>
    <col min="14132" max="14132" width="16.5703125" style="252" customWidth="1"/>
    <col min="14133" max="14133" width="14.28515625" style="252" customWidth="1"/>
    <col min="14134" max="14134" width="15" style="252" customWidth="1"/>
    <col min="14135" max="14135" width="16.5703125" style="252" customWidth="1"/>
    <col min="14136" max="14137" width="14.7109375" style="252" customWidth="1"/>
    <col min="14138" max="14138" width="16.7109375" style="252" customWidth="1"/>
    <col min="14139" max="14140" width="14.7109375" style="252" customWidth="1"/>
    <col min="14141" max="14141" width="16.5703125" style="252" customWidth="1"/>
    <col min="14142" max="14142" width="18.140625" style="252" customWidth="1"/>
    <col min="14143" max="14352" width="9.140625" style="252"/>
    <col min="14353" max="14353" width="3.140625" style="252" customWidth="1"/>
    <col min="14354" max="14354" width="13.42578125" style="252" customWidth="1"/>
    <col min="14355" max="14355" width="26.28515625" style="252" customWidth="1"/>
    <col min="14356" max="14357" width="17.7109375" style="252" customWidth="1"/>
    <col min="14358" max="14358" width="20.7109375" style="252" customWidth="1"/>
    <col min="14359" max="14360" width="14.7109375" style="252" customWidth="1"/>
    <col min="14361" max="14361" width="16.42578125" style="252" customWidth="1"/>
    <col min="14362" max="14363" width="14.7109375" style="252" customWidth="1"/>
    <col min="14364" max="14364" width="16.7109375" style="252" customWidth="1"/>
    <col min="14365" max="14366" width="14.7109375" style="252" customWidth="1"/>
    <col min="14367" max="14367" width="16.7109375" style="252" customWidth="1"/>
    <col min="14368" max="14369" width="14.7109375" style="252" customWidth="1"/>
    <col min="14370" max="14370" width="16.140625" style="252" customWidth="1"/>
    <col min="14371" max="14372" width="14.7109375" style="252" customWidth="1"/>
    <col min="14373" max="14373" width="15.7109375" style="252" customWidth="1"/>
    <col min="14374" max="14375" width="14.7109375" style="252" customWidth="1"/>
    <col min="14376" max="14376" width="16.7109375" style="252" customWidth="1"/>
    <col min="14377" max="14378" width="14.7109375" style="252" customWidth="1"/>
    <col min="14379" max="14379" width="17.7109375" style="252" customWidth="1"/>
    <col min="14380" max="14381" width="14.7109375" style="252" customWidth="1"/>
    <col min="14382" max="14382" width="16.7109375" style="252" customWidth="1"/>
    <col min="14383" max="14387" width="14.7109375" style="252" customWidth="1"/>
    <col min="14388" max="14388" width="16.5703125" style="252" customWidth="1"/>
    <col min="14389" max="14389" width="14.28515625" style="252" customWidth="1"/>
    <col min="14390" max="14390" width="15" style="252" customWidth="1"/>
    <col min="14391" max="14391" width="16.5703125" style="252" customWidth="1"/>
    <col min="14392" max="14393" width="14.7109375" style="252" customWidth="1"/>
    <col min="14394" max="14394" width="16.7109375" style="252" customWidth="1"/>
    <col min="14395" max="14396" width="14.7109375" style="252" customWidth="1"/>
    <col min="14397" max="14397" width="16.5703125" style="252" customWidth="1"/>
    <col min="14398" max="14398" width="18.140625" style="252" customWidth="1"/>
    <col min="14399" max="14608" width="9.140625" style="252"/>
    <col min="14609" max="14609" width="3.140625" style="252" customWidth="1"/>
    <col min="14610" max="14610" width="13.42578125" style="252" customWidth="1"/>
    <col min="14611" max="14611" width="26.28515625" style="252" customWidth="1"/>
    <col min="14612" max="14613" width="17.7109375" style="252" customWidth="1"/>
    <col min="14614" max="14614" width="20.7109375" style="252" customWidth="1"/>
    <col min="14615" max="14616" width="14.7109375" style="252" customWidth="1"/>
    <col min="14617" max="14617" width="16.42578125" style="252" customWidth="1"/>
    <col min="14618" max="14619" width="14.7109375" style="252" customWidth="1"/>
    <col min="14620" max="14620" width="16.7109375" style="252" customWidth="1"/>
    <col min="14621" max="14622" width="14.7109375" style="252" customWidth="1"/>
    <col min="14623" max="14623" width="16.7109375" style="252" customWidth="1"/>
    <col min="14624" max="14625" width="14.7109375" style="252" customWidth="1"/>
    <col min="14626" max="14626" width="16.140625" style="252" customWidth="1"/>
    <col min="14627" max="14628" width="14.7109375" style="252" customWidth="1"/>
    <col min="14629" max="14629" width="15.7109375" style="252" customWidth="1"/>
    <col min="14630" max="14631" width="14.7109375" style="252" customWidth="1"/>
    <col min="14632" max="14632" width="16.7109375" style="252" customWidth="1"/>
    <col min="14633" max="14634" width="14.7109375" style="252" customWidth="1"/>
    <col min="14635" max="14635" width="17.7109375" style="252" customWidth="1"/>
    <col min="14636" max="14637" width="14.7109375" style="252" customWidth="1"/>
    <col min="14638" max="14638" width="16.7109375" style="252" customWidth="1"/>
    <col min="14639" max="14643" width="14.7109375" style="252" customWidth="1"/>
    <col min="14644" max="14644" width="16.5703125" style="252" customWidth="1"/>
    <col min="14645" max="14645" width="14.28515625" style="252" customWidth="1"/>
    <col min="14646" max="14646" width="15" style="252" customWidth="1"/>
    <col min="14647" max="14647" width="16.5703125" style="252" customWidth="1"/>
    <col min="14648" max="14649" width="14.7109375" style="252" customWidth="1"/>
    <col min="14650" max="14650" width="16.7109375" style="252" customWidth="1"/>
    <col min="14651" max="14652" width="14.7109375" style="252" customWidth="1"/>
    <col min="14653" max="14653" width="16.5703125" style="252" customWidth="1"/>
    <col min="14654" max="14654" width="18.140625" style="252" customWidth="1"/>
    <col min="14655" max="14864" width="9.140625" style="252"/>
    <col min="14865" max="14865" width="3.140625" style="252" customWidth="1"/>
    <col min="14866" max="14866" width="13.42578125" style="252" customWidth="1"/>
    <col min="14867" max="14867" width="26.28515625" style="252" customWidth="1"/>
    <col min="14868" max="14869" width="17.7109375" style="252" customWidth="1"/>
    <col min="14870" max="14870" width="20.7109375" style="252" customWidth="1"/>
    <col min="14871" max="14872" width="14.7109375" style="252" customWidth="1"/>
    <col min="14873" max="14873" width="16.42578125" style="252" customWidth="1"/>
    <col min="14874" max="14875" width="14.7109375" style="252" customWidth="1"/>
    <col min="14876" max="14876" width="16.7109375" style="252" customWidth="1"/>
    <col min="14877" max="14878" width="14.7109375" style="252" customWidth="1"/>
    <col min="14879" max="14879" width="16.7109375" style="252" customWidth="1"/>
    <col min="14880" max="14881" width="14.7109375" style="252" customWidth="1"/>
    <col min="14882" max="14882" width="16.140625" style="252" customWidth="1"/>
    <col min="14883" max="14884" width="14.7109375" style="252" customWidth="1"/>
    <col min="14885" max="14885" width="15.7109375" style="252" customWidth="1"/>
    <col min="14886" max="14887" width="14.7109375" style="252" customWidth="1"/>
    <col min="14888" max="14888" width="16.7109375" style="252" customWidth="1"/>
    <col min="14889" max="14890" width="14.7109375" style="252" customWidth="1"/>
    <col min="14891" max="14891" width="17.7109375" style="252" customWidth="1"/>
    <col min="14892" max="14893" width="14.7109375" style="252" customWidth="1"/>
    <col min="14894" max="14894" width="16.7109375" style="252" customWidth="1"/>
    <col min="14895" max="14899" width="14.7109375" style="252" customWidth="1"/>
    <col min="14900" max="14900" width="16.5703125" style="252" customWidth="1"/>
    <col min="14901" max="14901" width="14.28515625" style="252" customWidth="1"/>
    <col min="14902" max="14902" width="15" style="252" customWidth="1"/>
    <col min="14903" max="14903" width="16.5703125" style="252" customWidth="1"/>
    <col min="14904" max="14905" width="14.7109375" style="252" customWidth="1"/>
    <col min="14906" max="14906" width="16.7109375" style="252" customWidth="1"/>
    <col min="14907" max="14908" width="14.7109375" style="252" customWidth="1"/>
    <col min="14909" max="14909" width="16.5703125" style="252" customWidth="1"/>
    <col min="14910" max="14910" width="18.140625" style="252" customWidth="1"/>
    <col min="14911" max="15120" width="9.140625" style="252"/>
    <col min="15121" max="15121" width="3.140625" style="252" customWidth="1"/>
    <col min="15122" max="15122" width="13.42578125" style="252" customWidth="1"/>
    <col min="15123" max="15123" width="26.28515625" style="252" customWidth="1"/>
    <col min="15124" max="15125" width="17.7109375" style="252" customWidth="1"/>
    <col min="15126" max="15126" width="20.7109375" style="252" customWidth="1"/>
    <col min="15127" max="15128" width="14.7109375" style="252" customWidth="1"/>
    <col min="15129" max="15129" width="16.42578125" style="252" customWidth="1"/>
    <col min="15130" max="15131" width="14.7109375" style="252" customWidth="1"/>
    <col min="15132" max="15132" width="16.7109375" style="252" customWidth="1"/>
    <col min="15133" max="15134" width="14.7109375" style="252" customWidth="1"/>
    <col min="15135" max="15135" width="16.7109375" style="252" customWidth="1"/>
    <col min="15136" max="15137" width="14.7109375" style="252" customWidth="1"/>
    <col min="15138" max="15138" width="16.140625" style="252" customWidth="1"/>
    <col min="15139" max="15140" width="14.7109375" style="252" customWidth="1"/>
    <col min="15141" max="15141" width="15.7109375" style="252" customWidth="1"/>
    <col min="15142" max="15143" width="14.7109375" style="252" customWidth="1"/>
    <col min="15144" max="15144" width="16.7109375" style="252" customWidth="1"/>
    <col min="15145" max="15146" width="14.7109375" style="252" customWidth="1"/>
    <col min="15147" max="15147" width="17.7109375" style="252" customWidth="1"/>
    <col min="15148" max="15149" width="14.7109375" style="252" customWidth="1"/>
    <col min="15150" max="15150" width="16.7109375" style="252" customWidth="1"/>
    <col min="15151" max="15155" width="14.7109375" style="252" customWidth="1"/>
    <col min="15156" max="15156" width="16.5703125" style="252" customWidth="1"/>
    <col min="15157" max="15157" width="14.28515625" style="252" customWidth="1"/>
    <col min="15158" max="15158" width="15" style="252" customWidth="1"/>
    <col min="15159" max="15159" width="16.5703125" style="252" customWidth="1"/>
    <col min="15160" max="15161" width="14.7109375" style="252" customWidth="1"/>
    <col min="15162" max="15162" width="16.7109375" style="252" customWidth="1"/>
    <col min="15163" max="15164" width="14.7109375" style="252" customWidth="1"/>
    <col min="15165" max="15165" width="16.5703125" style="252" customWidth="1"/>
    <col min="15166" max="15166" width="18.140625" style="252" customWidth="1"/>
    <col min="15167" max="15376" width="9.140625" style="252"/>
    <col min="15377" max="15377" width="3.140625" style="252" customWidth="1"/>
    <col min="15378" max="15378" width="13.42578125" style="252" customWidth="1"/>
    <col min="15379" max="15379" width="26.28515625" style="252" customWidth="1"/>
    <col min="15380" max="15381" width="17.7109375" style="252" customWidth="1"/>
    <col min="15382" max="15382" width="20.7109375" style="252" customWidth="1"/>
    <col min="15383" max="15384" width="14.7109375" style="252" customWidth="1"/>
    <col min="15385" max="15385" width="16.42578125" style="252" customWidth="1"/>
    <col min="15386" max="15387" width="14.7109375" style="252" customWidth="1"/>
    <col min="15388" max="15388" width="16.7109375" style="252" customWidth="1"/>
    <col min="15389" max="15390" width="14.7109375" style="252" customWidth="1"/>
    <col min="15391" max="15391" width="16.7109375" style="252" customWidth="1"/>
    <col min="15392" max="15393" width="14.7109375" style="252" customWidth="1"/>
    <col min="15394" max="15394" width="16.140625" style="252" customWidth="1"/>
    <col min="15395" max="15396" width="14.7109375" style="252" customWidth="1"/>
    <col min="15397" max="15397" width="15.7109375" style="252" customWidth="1"/>
    <col min="15398" max="15399" width="14.7109375" style="252" customWidth="1"/>
    <col min="15400" max="15400" width="16.7109375" style="252" customWidth="1"/>
    <col min="15401" max="15402" width="14.7109375" style="252" customWidth="1"/>
    <col min="15403" max="15403" width="17.7109375" style="252" customWidth="1"/>
    <col min="15404" max="15405" width="14.7109375" style="252" customWidth="1"/>
    <col min="15406" max="15406" width="16.7109375" style="252" customWidth="1"/>
    <col min="15407" max="15411" width="14.7109375" style="252" customWidth="1"/>
    <col min="15412" max="15412" width="16.5703125" style="252" customWidth="1"/>
    <col min="15413" max="15413" width="14.28515625" style="252" customWidth="1"/>
    <col min="15414" max="15414" width="15" style="252" customWidth="1"/>
    <col min="15415" max="15415" width="16.5703125" style="252" customWidth="1"/>
    <col min="15416" max="15417" width="14.7109375" style="252" customWidth="1"/>
    <col min="15418" max="15418" width="16.7109375" style="252" customWidth="1"/>
    <col min="15419" max="15420" width="14.7109375" style="252" customWidth="1"/>
    <col min="15421" max="15421" width="16.5703125" style="252" customWidth="1"/>
    <col min="15422" max="15422" width="18.140625" style="252" customWidth="1"/>
    <col min="15423" max="15632" width="9.140625" style="252"/>
    <col min="15633" max="15633" width="3.140625" style="252" customWidth="1"/>
    <col min="15634" max="15634" width="13.42578125" style="252" customWidth="1"/>
    <col min="15635" max="15635" width="26.28515625" style="252" customWidth="1"/>
    <col min="15636" max="15637" width="17.7109375" style="252" customWidth="1"/>
    <col min="15638" max="15638" width="20.7109375" style="252" customWidth="1"/>
    <col min="15639" max="15640" width="14.7109375" style="252" customWidth="1"/>
    <col min="15641" max="15641" width="16.42578125" style="252" customWidth="1"/>
    <col min="15642" max="15643" width="14.7109375" style="252" customWidth="1"/>
    <col min="15644" max="15644" width="16.7109375" style="252" customWidth="1"/>
    <col min="15645" max="15646" width="14.7109375" style="252" customWidth="1"/>
    <col min="15647" max="15647" width="16.7109375" style="252" customWidth="1"/>
    <col min="15648" max="15649" width="14.7109375" style="252" customWidth="1"/>
    <col min="15650" max="15650" width="16.140625" style="252" customWidth="1"/>
    <col min="15651" max="15652" width="14.7109375" style="252" customWidth="1"/>
    <col min="15653" max="15653" width="15.7109375" style="252" customWidth="1"/>
    <col min="15654" max="15655" width="14.7109375" style="252" customWidth="1"/>
    <col min="15656" max="15656" width="16.7109375" style="252" customWidth="1"/>
    <col min="15657" max="15658" width="14.7109375" style="252" customWidth="1"/>
    <col min="15659" max="15659" width="17.7109375" style="252" customWidth="1"/>
    <col min="15660" max="15661" width="14.7109375" style="252" customWidth="1"/>
    <col min="15662" max="15662" width="16.7109375" style="252" customWidth="1"/>
    <col min="15663" max="15667" width="14.7109375" style="252" customWidth="1"/>
    <col min="15668" max="15668" width="16.5703125" style="252" customWidth="1"/>
    <col min="15669" max="15669" width="14.28515625" style="252" customWidth="1"/>
    <col min="15670" max="15670" width="15" style="252" customWidth="1"/>
    <col min="15671" max="15671" width="16.5703125" style="252" customWidth="1"/>
    <col min="15672" max="15673" width="14.7109375" style="252" customWidth="1"/>
    <col min="15674" max="15674" width="16.7109375" style="252" customWidth="1"/>
    <col min="15675" max="15676" width="14.7109375" style="252" customWidth="1"/>
    <col min="15677" max="15677" width="16.5703125" style="252" customWidth="1"/>
    <col min="15678" max="15678" width="18.140625" style="252" customWidth="1"/>
    <col min="15679" max="15888" width="9.140625" style="252"/>
    <col min="15889" max="15889" width="3.140625" style="252" customWidth="1"/>
    <col min="15890" max="15890" width="13.42578125" style="252" customWidth="1"/>
    <col min="15891" max="15891" width="26.28515625" style="252" customWidth="1"/>
    <col min="15892" max="15893" width="17.7109375" style="252" customWidth="1"/>
    <col min="15894" max="15894" width="20.7109375" style="252" customWidth="1"/>
    <col min="15895" max="15896" width="14.7109375" style="252" customWidth="1"/>
    <col min="15897" max="15897" width="16.42578125" style="252" customWidth="1"/>
    <col min="15898" max="15899" width="14.7109375" style="252" customWidth="1"/>
    <col min="15900" max="15900" width="16.7109375" style="252" customWidth="1"/>
    <col min="15901" max="15902" width="14.7109375" style="252" customWidth="1"/>
    <col min="15903" max="15903" width="16.7109375" style="252" customWidth="1"/>
    <col min="15904" max="15905" width="14.7109375" style="252" customWidth="1"/>
    <col min="15906" max="15906" width="16.140625" style="252" customWidth="1"/>
    <col min="15907" max="15908" width="14.7109375" style="252" customWidth="1"/>
    <col min="15909" max="15909" width="15.7109375" style="252" customWidth="1"/>
    <col min="15910" max="15911" width="14.7109375" style="252" customWidth="1"/>
    <col min="15912" max="15912" width="16.7109375" style="252" customWidth="1"/>
    <col min="15913" max="15914" width="14.7109375" style="252" customWidth="1"/>
    <col min="15915" max="15915" width="17.7109375" style="252" customWidth="1"/>
    <col min="15916" max="15917" width="14.7109375" style="252" customWidth="1"/>
    <col min="15918" max="15918" width="16.7109375" style="252" customWidth="1"/>
    <col min="15919" max="15923" width="14.7109375" style="252" customWidth="1"/>
    <col min="15924" max="15924" width="16.5703125" style="252" customWidth="1"/>
    <col min="15925" max="15925" width="14.28515625" style="252" customWidth="1"/>
    <col min="15926" max="15926" width="15" style="252" customWidth="1"/>
    <col min="15927" max="15927" width="16.5703125" style="252" customWidth="1"/>
    <col min="15928" max="15929" width="14.7109375" style="252" customWidth="1"/>
    <col min="15930" max="15930" width="16.7109375" style="252" customWidth="1"/>
    <col min="15931" max="15932" width="14.7109375" style="252" customWidth="1"/>
    <col min="15933" max="15933" width="16.5703125" style="252" customWidth="1"/>
    <col min="15934" max="15934" width="18.140625" style="252" customWidth="1"/>
    <col min="15935" max="16144" width="9.140625" style="252"/>
    <col min="16145" max="16145" width="3.140625" style="252" customWidth="1"/>
    <col min="16146" max="16146" width="13.42578125" style="252" customWidth="1"/>
    <col min="16147" max="16147" width="26.28515625" style="252" customWidth="1"/>
    <col min="16148" max="16149" width="17.7109375" style="252" customWidth="1"/>
    <col min="16150" max="16150" width="20.7109375" style="252" customWidth="1"/>
    <col min="16151" max="16152" width="14.7109375" style="252" customWidth="1"/>
    <col min="16153" max="16153" width="16.42578125" style="252" customWidth="1"/>
    <col min="16154" max="16155" width="14.7109375" style="252" customWidth="1"/>
    <col min="16156" max="16156" width="16.7109375" style="252" customWidth="1"/>
    <col min="16157" max="16158" width="14.7109375" style="252" customWidth="1"/>
    <col min="16159" max="16159" width="16.7109375" style="252" customWidth="1"/>
    <col min="16160" max="16161" width="14.7109375" style="252" customWidth="1"/>
    <col min="16162" max="16162" width="16.140625" style="252" customWidth="1"/>
    <col min="16163" max="16164" width="14.7109375" style="252" customWidth="1"/>
    <col min="16165" max="16165" width="15.7109375" style="252" customWidth="1"/>
    <col min="16166" max="16167" width="14.7109375" style="252" customWidth="1"/>
    <col min="16168" max="16168" width="16.7109375" style="252" customWidth="1"/>
    <col min="16169" max="16170" width="14.7109375" style="252" customWidth="1"/>
    <col min="16171" max="16171" width="17.7109375" style="252" customWidth="1"/>
    <col min="16172" max="16173" width="14.7109375" style="252" customWidth="1"/>
    <col min="16174" max="16174" width="16.7109375" style="252" customWidth="1"/>
    <col min="16175" max="16179" width="14.7109375" style="252" customWidth="1"/>
    <col min="16180" max="16180" width="16.5703125" style="252" customWidth="1"/>
    <col min="16181" max="16181" width="14.28515625" style="252" customWidth="1"/>
    <col min="16182" max="16182" width="15" style="252" customWidth="1"/>
    <col min="16183" max="16183" width="16.5703125" style="252" customWidth="1"/>
    <col min="16184" max="16185" width="14.7109375" style="252" customWidth="1"/>
    <col min="16186" max="16186" width="16.7109375" style="252" customWidth="1"/>
    <col min="16187" max="16188" width="14.7109375" style="252" customWidth="1"/>
    <col min="16189" max="16189" width="16.5703125" style="252" customWidth="1"/>
    <col min="16190" max="16190" width="18.140625" style="252" customWidth="1"/>
    <col min="16191" max="16384" width="9.140625" style="252"/>
  </cols>
  <sheetData>
    <row r="2" spans="1:63" ht="24.75" customHeight="1" x14ac:dyDescent="0.25">
      <c r="B2" s="551"/>
      <c r="C2" s="551"/>
      <c r="D2" s="551"/>
      <c r="E2" s="551"/>
      <c r="F2" s="551"/>
      <c r="G2" s="551"/>
      <c r="H2" s="551"/>
      <c r="I2" s="551"/>
      <c r="J2" s="343"/>
      <c r="K2" s="344"/>
      <c r="L2" s="343"/>
      <c r="M2" s="343"/>
      <c r="N2" s="345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552" t="s">
        <v>283</v>
      </c>
      <c r="BJ2" s="552"/>
    </row>
    <row r="3" spans="1:63" ht="23.25" customHeight="1" x14ac:dyDescent="0.25">
      <c r="B3" s="552" t="s">
        <v>432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2"/>
      <c r="AP3" s="552"/>
      <c r="AQ3" s="552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77"/>
      <c r="BF3" s="552" t="s">
        <v>21</v>
      </c>
      <c r="BG3" s="552"/>
      <c r="BH3" s="552"/>
      <c r="BI3" s="552"/>
      <c r="BJ3" s="552"/>
    </row>
    <row r="4" spans="1:63" ht="18" customHeight="1" x14ac:dyDescent="0.25">
      <c r="B4" s="254"/>
      <c r="C4" s="254"/>
      <c r="D4" s="254"/>
      <c r="E4" s="254"/>
      <c r="F4" s="254"/>
      <c r="G4" s="346"/>
      <c r="H4" s="254"/>
      <c r="I4" s="254"/>
      <c r="J4" s="254"/>
      <c r="K4" s="346"/>
      <c r="L4" s="254"/>
      <c r="M4" s="254"/>
      <c r="N4" s="346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346" t="s">
        <v>1</v>
      </c>
    </row>
    <row r="5" spans="1:63" s="347" customFormat="1" ht="72.75" customHeight="1" x14ac:dyDescent="0.25">
      <c r="B5" s="548" t="s">
        <v>0</v>
      </c>
      <c r="C5" s="548" t="s">
        <v>22</v>
      </c>
      <c r="D5" s="548" t="s">
        <v>284</v>
      </c>
      <c r="E5" s="548" t="s">
        <v>285</v>
      </c>
      <c r="F5" s="548" t="s">
        <v>286</v>
      </c>
      <c r="G5" s="548" t="s">
        <v>293</v>
      </c>
      <c r="H5" s="548"/>
      <c r="I5" s="548"/>
      <c r="J5" s="548" t="s">
        <v>288</v>
      </c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8"/>
      <c r="AV5" s="548"/>
      <c r="AW5" s="548"/>
      <c r="AX5" s="548"/>
      <c r="AY5" s="548"/>
      <c r="AZ5" s="548"/>
      <c r="BA5" s="548"/>
      <c r="BB5" s="548"/>
      <c r="BC5" s="548"/>
      <c r="BD5" s="548"/>
      <c r="BE5" s="548"/>
      <c r="BF5" s="548"/>
      <c r="BG5" s="548"/>
      <c r="BH5" s="548"/>
      <c r="BI5" s="548"/>
      <c r="BJ5" s="553" t="s">
        <v>3</v>
      </c>
    </row>
    <row r="6" spans="1:63" s="347" customFormat="1" ht="54.75" customHeight="1" x14ac:dyDescent="0.25">
      <c r="B6" s="548"/>
      <c r="C6" s="548"/>
      <c r="D6" s="548"/>
      <c r="E6" s="548"/>
      <c r="F6" s="548"/>
      <c r="G6" s="548" t="s">
        <v>291</v>
      </c>
      <c r="H6" s="548" t="s">
        <v>289</v>
      </c>
      <c r="I6" s="548" t="s">
        <v>290</v>
      </c>
      <c r="J6" s="548" t="s">
        <v>305</v>
      </c>
      <c r="K6" s="548"/>
      <c r="L6" s="548"/>
      <c r="M6" s="548"/>
      <c r="N6" s="548" t="s">
        <v>5</v>
      </c>
      <c r="O6" s="548"/>
      <c r="P6" s="548"/>
      <c r="Q6" s="548" t="s">
        <v>6</v>
      </c>
      <c r="R6" s="548"/>
      <c r="S6" s="548"/>
      <c r="T6" s="548" t="s">
        <v>7</v>
      </c>
      <c r="U6" s="548"/>
      <c r="V6" s="548"/>
      <c r="W6" s="548" t="s">
        <v>491</v>
      </c>
      <c r="X6" s="548"/>
      <c r="Y6" s="548"/>
      <c r="Z6" s="548"/>
      <c r="AA6" s="548" t="s">
        <v>8</v>
      </c>
      <c r="AB6" s="548"/>
      <c r="AC6" s="548"/>
      <c r="AD6" s="548" t="s">
        <v>9</v>
      </c>
      <c r="AE6" s="548"/>
      <c r="AF6" s="548"/>
      <c r="AG6" s="548" t="s">
        <v>10</v>
      </c>
      <c r="AH6" s="548"/>
      <c r="AI6" s="548"/>
      <c r="AJ6" s="548" t="s">
        <v>492</v>
      </c>
      <c r="AK6" s="548"/>
      <c r="AL6" s="548"/>
      <c r="AM6" s="548"/>
      <c r="AN6" s="548" t="s">
        <v>11</v>
      </c>
      <c r="AO6" s="548"/>
      <c r="AP6" s="548"/>
      <c r="AQ6" s="548" t="s">
        <v>12</v>
      </c>
      <c r="AR6" s="548"/>
      <c r="AS6" s="548"/>
      <c r="AT6" s="548" t="s">
        <v>13</v>
      </c>
      <c r="AU6" s="548"/>
      <c r="AV6" s="548"/>
      <c r="AW6" s="548" t="s">
        <v>493</v>
      </c>
      <c r="AX6" s="548"/>
      <c r="AY6" s="548"/>
      <c r="AZ6" s="548"/>
      <c r="BA6" s="548" t="s">
        <v>14</v>
      </c>
      <c r="BB6" s="548"/>
      <c r="BC6" s="548"/>
      <c r="BD6" s="548" t="s">
        <v>15</v>
      </c>
      <c r="BE6" s="548"/>
      <c r="BF6" s="548"/>
      <c r="BG6" s="548" t="s">
        <v>16</v>
      </c>
      <c r="BH6" s="548"/>
      <c r="BI6" s="548"/>
      <c r="BJ6" s="553"/>
    </row>
    <row r="7" spans="1:63" s="347" customFormat="1" ht="54" customHeight="1" x14ac:dyDescent="0.25">
      <c r="B7" s="548"/>
      <c r="C7" s="548"/>
      <c r="D7" s="548"/>
      <c r="E7" s="548"/>
      <c r="F7" s="548"/>
      <c r="G7" s="548"/>
      <c r="H7" s="548"/>
      <c r="I7" s="548"/>
      <c r="J7" s="276" t="s">
        <v>23</v>
      </c>
      <c r="K7" s="276" t="s">
        <v>291</v>
      </c>
      <c r="L7" s="276" t="s">
        <v>289</v>
      </c>
      <c r="M7" s="276" t="s">
        <v>290</v>
      </c>
      <c r="N7" s="276" t="s">
        <v>4</v>
      </c>
      <c r="O7" s="276" t="s">
        <v>289</v>
      </c>
      <c r="P7" s="276" t="s">
        <v>290</v>
      </c>
      <c r="Q7" s="276" t="s">
        <v>4</v>
      </c>
      <c r="R7" s="276" t="s">
        <v>289</v>
      </c>
      <c r="S7" s="276" t="s">
        <v>290</v>
      </c>
      <c r="T7" s="276" t="s">
        <v>4</v>
      </c>
      <c r="U7" s="276" t="s">
        <v>289</v>
      </c>
      <c r="V7" s="276" t="s">
        <v>290</v>
      </c>
      <c r="W7" s="276" t="s">
        <v>23</v>
      </c>
      <c r="X7" s="276" t="s">
        <v>291</v>
      </c>
      <c r="Y7" s="276" t="s">
        <v>289</v>
      </c>
      <c r="Z7" s="276" t="s">
        <v>290</v>
      </c>
      <c r="AA7" s="276" t="s">
        <v>4</v>
      </c>
      <c r="AB7" s="276" t="s">
        <v>289</v>
      </c>
      <c r="AC7" s="276" t="s">
        <v>290</v>
      </c>
      <c r="AD7" s="276" t="s">
        <v>4</v>
      </c>
      <c r="AE7" s="276" t="s">
        <v>289</v>
      </c>
      <c r="AF7" s="276" t="s">
        <v>290</v>
      </c>
      <c r="AG7" s="276" t="s">
        <v>4</v>
      </c>
      <c r="AH7" s="276" t="s">
        <v>289</v>
      </c>
      <c r="AI7" s="276" t="s">
        <v>290</v>
      </c>
      <c r="AJ7" s="276" t="s">
        <v>23</v>
      </c>
      <c r="AK7" s="276" t="s">
        <v>291</v>
      </c>
      <c r="AL7" s="276" t="s">
        <v>289</v>
      </c>
      <c r="AM7" s="276" t="s">
        <v>290</v>
      </c>
      <c r="AN7" s="276" t="s">
        <v>4</v>
      </c>
      <c r="AO7" s="276" t="s">
        <v>289</v>
      </c>
      <c r="AP7" s="276" t="s">
        <v>290</v>
      </c>
      <c r="AQ7" s="276" t="s">
        <v>4</v>
      </c>
      <c r="AR7" s="276" t="s">
        <v>289</v>
      </c>
      <c r="AS7" s="276" t="s">
        <v>290</v>
      </c>
      <c r="AT7" s="276" t="s">
        <v>4</v>
      </c>
      <c r="AU7" s="276" t="s">
        <v>289</v>
      </c>
      <c r="AV7" s="276" t="s">
        <v>290</v>
      </c>
      <c r="AW7" s="276" t="s">
        <v>23</v>
      </c>
      <c r="AX7" s="276" t="s">
        <v>291</v>
      </c>
      <c r="AY7" s="276" t="s">
        <v>289</v>
      </c>
      <c r="AZ7" s="276" t="s">
        <v>290</v>
      </c>
      <c r="BA7" s="276" t="s">
        <v>4</v>
      </c>
      <c r="BB7" s="276" t="s">
        <v>289</v>
      </c>
      <c r="BC7" s="276" t="s">
        <v>290</v>
      </c>
      <c r="BD7" s="276" t="s">
        <v>4</v>
      </c>
      <c r="BE7" s="276" t="s">
        <v>289</v>
      </c>
      <c r="BF7" s="276" t="s">
        <v>290</v>
      </c>
      <c r="BG7" s="276" t="s">
        <v>4</v>
      </c>
      <c r="BH7" s="276" t="s">
        <v>289</v>
      </c>
      <c r="BI7" s="276" t="s">
        <v>290</v>
      </c>
      <c r="BJ7" s="553"/>
    </row>
    <row r="8" spans="1:63" s="347" customFormat="1" ht="82.5" customHeight="1" x14ac:dyDescent="0.25">
      <c r="B8" s="276" t="s">
        <v>306</v>
      </c>
      <c r="C8" s="255" t="s">
        <v>307</v>
      </c>
      <c r="D8" s="348">
        <v>1700000000</v>
      </c>
      <c r="E8" s="348">
        <f t="shared" ref="E8:E13" si="0">J8+W8+AJ8+AW8</f>
        <v>1716760100</v>
      </c>
      <c r="F8" s="276"/>
      <c r="G8" s="349">
        <f>N8+Q8+AA8+AD8+AG8+AN8+AQ8+AT8+BA8+BD8+BG8+T8</f>
        <v>1716759832.78</v>
      </c>
      <c r="H8" s="256"/>
      <c r="I8" s="256"/>
      <c r="J8" s="348">
        <v>427514200</v>
      </c>
      <c r="K8" s="349">
        <f>N8+Q8+T8</f>
        <v>425963525.77999997</v>
      </c>
      <c r="L8" s="276"/>
      <c r="M8" s="276"/>
      <c r="N8" s="349">
        <v>141909786.47999999</v>
      </c>
      <c r="O8" s="350"/>
      <c r="P8" s="276"/>
      <c r="Q8" s="351">
        <v>141899701.43000004</v>
      </c>
      <c r="R8" s="350"/>
      <c r="S8" s="276"/>
      <c r="T8" s="351">
        <v>142154037.86999997</v>
      </c>
      <c r="U8" s="350"/>
      <c r="V8" s="276"/>
      <c r="W8" s="348">
        <v>426936900</v>
      </c>
      <c r="X8" s="348">
        <f>AA8+AD8+AG8</f>
        <v>428251719</v>
      </c>
      <c r="Y8" s="276"/>
      <c r="Z8" s="276"/>
      <c r="AA8" s="348">
        <v>142417361</v>
      </c>
      <c r="AB8" s="350"/>
      <c r="AC8" s="276"/>
      <c r="AD8" s="348">
        <v>142817322</v>
      </c>
      <c r="AE8" s="350"/>
      <c r="AF8" s="276"/>
      <c r="AG8" s="348">
        <v>143017036</v>
      </c>
      <c r="AH8" s="350"/>
      <c r="AI8" s="276"/>
      <c r="AJ8" s="348">
        <v>437239300</v>
      </c>
      <c r="AK8" s="348">
        <f>AN8+AQ8+AT8</f>
        <v>430414996</v>
      </c>
      <c r="AL8" s="276"/>
      <c r="AM8" s="276"/>
      <c r="AN8" s="348">
        <v>143125743</v>
      </c>
      <c r="AO8" s="350"/>
      <c r="AP8" s="276"/>
      <c r="AQ8" s="348">
        <v>143550470</v>
      </c>
      <c r="AR8" s="350"/>
      <c r="AS8" s="276"/>
      <c r="AT8" s="348">
        <v>143738783</v>
      </c>
      <c r="AU8" s="350"/>
      <c r="AV8" s="276"/>
      <c r="AW8" s="348">
        <v>425069700</v>
      </c>
      <c r="AX8" s="348">
        <f>BA8+BD8+BG8</f>
        <v>432129592</v>
      </c>
      <c r="AY8" s="276"/>
      <c r="AZ8" s="276"/>
      <c r="BA8" s="348">
        <v>143906551</v>
      </c>
      <c r="BB8" s="350"/>
      <c r="BC8" s="276"/>
      <c r="BD8" s="348">
        <v>144200778</v>
      </c>
      <c r="BE8" s="350"/>
      <c r="BF8" s="276"/>
      <c r="BG8" s="348">
        <v>144022263</v>
      </c>
      <c r="BH8" s="350"/>
      <c r="BI8" s="276"/>
      <c r="BJ8" s="352"/>
    </row>
    <row r="9" spans="1:63" s="347" customFormat="1" ht="98.25" customHeight="1" x14ac:dyDescent="0.25">
      <c r="B9" s="276" t="s">
        <v>308</v>
      </c>
      <c r="C9" s="255" t="s">
        <v>309</v>
      </c>
      <c r="D9" s="348">
        <v>680000000</v>
      </c>
      <c r="E9" s="348">
        <f t="shared" si="0"/>
        <v>643384077</v>
      </c>
      <c r="F9" s="276"/>
      <c r="G9" s="349">
        <f>N9+Q9+AA9+AD9+AG9+AN9+AQ9+AT9+BA9+BD9+BG9+T9</f>
        <v>643349349.92000008</v>
      </c>
      <c r="H9" s="256"/>
      <c r="I9" s="256"/>
      <c r="J9" s="348">
        <v>165661722</v>
      </c>
      <c r="K9" s="349">
        <f>N9+Q9+T9</f>
        <v>160776966.03</v>
      </c>
      <c r="L9" s="276"/>
      <c r="M9" s="276"/>
      <c r="N9" s="349">
        <v>53269132.220000006</v>
      </c>
      <c r="O9" s="350"/>
      <c r="P9" s="276"/>
      <c r="Q9" s="351">
        <v>53966198.959999993</v>
      </c>
      <c r="R9" s="348"/>
      <c r="S9" s="348"/>
      <c r="T9" s="351">
        <v>53541634.849999987</v>
      </c>
      <c r="U9" s="350"/>
      <c r="V9" s="276"/>
      <c r="W9" s="348">
        <v>157973251</v>
      </c>
      <c r="X9" s="348">
        <f>AA9+AD9+AG9</f>
        <v>160426877.20999998</v>
      </c>
      <c r="Y9" s="276"/>
      <c r="Z9" s="276"/>
      <c r="AA9" s="348">
        <v>53440439.75</v>
      </c>
      <c r="AB9" s="350"/>
      <c r="AC9" s="276"/>
      <c r="AD9" s="348">
        <v>53704927.350000001</v>
      </c>
      <c r="AE9" s="350"/>
      <c r="AF9" s="276"/>
      <c r="AG9" s="348">
        <v>53281510.109999999</v>
      </c>
      <c r="AH9" s="350"/>
      <c r="AI9" s="276"/>
      <c r="AJ9" s="348">
        <v>179836148</v>
      </c>
      <c r="AK9" s="348">
        <f>AN9+AQ9+AT9</f>
        <v>159425371.81</v>
      </c>
      <c r="AL9" s="276"/>
      <c r="AM9" s="276"/>
      <c r="AN9" s="348">
        <v>53420112.420000002</v>
      </c>
      <c r="AO9" s="350"/>
      <c r="AP9" s="276"/>
      <c r="AQ9" s="348">
        <v>53176042.060000002</v>
      </c>
      <c r="AR9" s="350"/>
      <c r="AS9" s="276"/>
      <c r="AT9" s="348">
        <v>52829217.329999998</v>
      </c>
      <c r="AU9" s="350"/>
      <c r="AV9" s="276"/>
      <c r="AW9" s="348">
        <v>139912956</v>
      </c>
      <c r="AX9" s="348">
        <f t="shared" ref="AX9" si="1">BA9+BD9+BG9</f>
        <v>162720134.87</v>
      </c>
      <c r="AY9" s="276"/>
      <c r="AZ9" s="276"/>
      <c r="BA9" s="348">
        <v>53197061.909999996</v>
      </c>
      <c r="BB9" s="350"/>
      <c r="BC9" s="276"/>
      <c r="BD9" s="348">
        <v>55263850.93</v>
      </c>
      <c r="BE9" s="350"/>
      <c r="BF9" s="276"/>
      <c r="BG9" s="348">
        <v>54259222.030000001</v>
      </c>
      <c r="BH9" s="350"/>
      <c r="BI9" s="276"/>
      <c r="BJ9" s="352"/>
    </row>
    <row r="10" spans="1:63" s="355" customFormat="1" ht="110.25" customHeight="1" x14ac:dyDescent="0.25">
      <c r="A10" s="347"/>
      <c r="B10" s="276" t="s">
        <v>310</v>
      </c>
      <c r="C10" s="255" t="s">
        <v>311</v>
      </c>
      <c r="D10" s="348">
        <v>1800000</v>
      </c>
      <c r="E10" s="348">
        <f t="shared" si="0"/>
        <v>1773230</v>
      </c>
      <c r="F10" s="348">
        <v>1800000</v>
      </c>
      <c r="G10" s="349">
        <f>N10+Q10+AA10+AD10+AG10+AN10+AQ10+AT10+BA10+BD10+BG10+T10</f>
        <v>1699180</v>
      </c>
      <c r="H10" s="256"/>
      <c r="I10" s="256"/>
      <c r="J10" s="348">
        <v>450000</v>
      </c>
      <c r="K10" s="349">
        <f>N10+Q10+T10</f>
        <v>222885</v>
      </c>
      <c r="L10" s="353"/>
      <c r="M10" s="276"/>
      <c r="N10" s="349"/>
      <c r="O10" s="350">
        <v>921</v>
      </c>
      <c r="P10" s="276"/>
      <c r="Q10" s="351">
        <v>148989</v>
      </c>
      <c r="R10" s="350">
        <v>947</v>
      </c>
      <c r="S10" s="276"/>
      <c r="T10" s="351">
        <v>73896</v>
      </c>
      <c r="U10" s="350">
        <v>928</v>
      </c>
      <c r="V10" s="276"/>
      <c r="W10" s="348">
        <v>423230</v>
      </c>
      <c r="X10" s="348">
        <f>AA10+AD10+AG10</f>
        <v>153380</v>
      </c>
      <c r="Y10" s="348"/>
      <c r="Z10" s="348"/>
      <c r="AA10" s="348">
        <v>75535</v>
      </c>
      <c r="AB10" s="354">
        <v>979</v>
      </c>
      <c r="AC10" s="348"/>
      <c r="AD10" s="348">
        <v>77845</v>
      </c>
      <c r="AE10" s="354">
        <v>1117</v>
      </c>
      <c r="AF10" s="348"/>
      <c r="AG10" s="348"/>
      <c r="AH10" s="354">
        <v>973</v>
      </c>
      <c r="AI10" s="348"/>
      <c r="AJ10" s="348">
        <v>450000</v>
      </c>
      <c r="AK10" s="348">
        <f>AN10+AQ10+AT10</f>
        <v>427998</v>
      </c>
      <c r="AL10" s="348"/>
      <c r="AM10" s="348"/>
      <c r="AN10" s="348">
        <v>282367</v>
      </c>
      <c r="AO10" s="350">
        <v>929</v>
      </c>
      <c r="AP10" s="348"/>
      <c r="AQ10" s="348">
        <v>111755</v>
      </c>
      <c r="AR10" s="350">
        <v>919</v>
      </c>
      <c r="AS10" s="348"/>
      <c r="AT10" s="348">
        <v>33876</v>
      </c>
      <c r="AU10" s="350">
        <v>928</v>
      </c>
      <c r="AV10" s="348"/>
      <c r="AW10" s="348">
        <v>450000</v>
      </c>
      <c r="AX10" s="348">
        <f>BA10+BD10+BG10</f>
        <v>894917</v>
      </c>
      <c r="AY10" s="276"/>
      <c r="AZ10" s="276"/>
      <c r="BA10" s="348">
        <v>74035</v>
      </c>
      <c r="BB10" s="353">
        <v>921</v>
      </c>
      <c r="BC10" s="276"/>
      <c r="BD10" s="348">
        <v>239314</v>
      </c>
      <c r="BE10" s="353">
        <v>982</v>
      </c>
      <c r="BF10" s="276"/>
      <c r="BG10" s="348">
        <v>581568</v>
      </c>
      <c r="BH10" s="353">
        <v>962</v>
      </c>
      <c r="BI10" s="276"/>
      <c r="BJ10" s="352"/>
      <c r="BK10" s="347"/>
    </row>
    <row r="11" spans="1:63" s="355" customFormat="1" ht="47.25" customHeight="1" x14ac:dyDescent="0.25">
      <c r="A11" s="347"/>
      <c r="B11" s="276" t="s">
        <v>312</v>
      </c>
      <c r="C11" s="255" t="s">
        <v>313</v>
      </c>
      <c r="D11" s="348">
        <v>1700000</v>
      </c>
      <c r="E11" s="348">
        <f t="shared" si="0"/>
        <v>1610190</v>
      </c>
      <c r="F11" s="348">
        <v>1700000</v>
      </c>
      <c r="G11" s="349">
        <f t="shared" ref="G11:G29" si="2">N11+Q11+AA11+AD11+AG11+AN11+AQ11+AT11+BA11+BD11+BG11+T11</f>
        <v>1605707.7999999998</v>
      </c>
      <c r="H11" s="256"/>
      <c r="I11" s="256"/>
      <c r="J11" s="348">
        <v>425000</v>
      </c>
      <c r="K11" s="349">
        <f t="shared" ref="K11:K29" si="3">N11+Q11+T11</f>
        <v>332981.5</v>
      </c>
      <c r="L11" s="276"/>
      <c r="M11" s="276"/>
      <c r="N11" s="349"/>
      <c r="O11" s="350">
        <v>638</v>
      </c>
      <c r="P11" s="276"/>
      <c r="Q11" s="351">
        <v>207921.5</v>
      </c>
      <c r="R11" s="350">
        <v>809</v>
      </c>
      <c r="S11" s="276"/>
      <c r="T11" s="351">
        <v>125060</v>
      </c>
      <c r="U11" s="350">
        <v>876</v>
      </c>
      <c r="V11" s="276"/>
      <c r="W11" s="348">
        <v>425000</v>
      </c>
      <c r="X11" s="348">
        <f t="shared" ref="X11:X29" si="4">AA11+AD11+AG11</f>
        <v>272967.5</v>
      </c>
      <c r="Y11" s="348"/>
      <c r="Z11" s="348"/>
      <c r="AA11" s="348">
        <v>0</v>
      </c>
      <c r="AB11" s="354">
        <v>928</v>
      </c>
      <c r="AC11" s="348"/>
      <c r="AD11" s="348">
        <v>139989.5</v>
      </c>
      <c r="AE11" s="354">
        <v>974</v>
      </c>
      <c r="AF11" s="348"/>
      <c r="AG11" s="348">
        <v>132978</v>
      </c>
      <c r="AH11" s="354">
        <v>930</v>
      </c>
      <c r="AI11" s="348"/>
      <c r="AJ11" s="348">
        <v>425000</v>
      </c>
      <c r="AK11" s="348">
        <f t="shared" ref="AK11:AK29" si="5">AN11+AQ11+AT11</f>
        <v>520516</v>
      </c>
      <c r="AL11" s="348"/>
      <c r="AM11" s="348"/>
      <c r="AN11" s="348">
        <v>274336.5</v>
      </c>
      <c r="AO11" s="350">
        <v>1015</v>
      </c>
      <c r="AP11" s="348"/>
      <c r="AQ11" s="348">
        <v>110537.5</v>
      </c>
      <c r="AR11" s="350">
        <v>808</v>
      </c>
      <c r="AS11" s="348"/>
      <c r="AT11" s="348">
        <v>135642</v>
      </c>
      <c r="AU11" s="350">
        <v>1082</v>
      </c>
      <c r="AV11" s="348"/>
      <c r="AW11" s="348">
        <v>335190</v>
      </c>
      <c r="AX11" s="348">
        <f t="shared" ref="AX11:AX33" si="6">BA11+BD11+BG11</f>
        <v>479242.80000000005</v>
      </c>
      <c r="AY11" s="276"/>
      <c r="AZ11" s="276"/>
      <c r="BA11" s="348">
        <v>149961</v>
      </c>
      <c r="BB11" s="350">
        <v>1120</v>
      </c>
      <c r="BC11" s="276"/>
      <c r="BD11" s="348">
        <v>163762.4</v>
      </c>
      <c r="BE11" s="350">
        <v>1165</v>
      </c>
      <c r="BF11" s="276"/>
      <c r="BG11" s="348">
        <v>165519.4</v>
      </c>
      <c r="BH11" s="350">
        <v>1190</v>
      </c>
      <c r="BI11" s="276"/>
      <c r="BJ11" s="352"/>
      <c r="BK11" s="347"/>
    </row>
    <row r="12" spans="1:63" s="355" customFormat="1" ht="63" customHeight="1" x14ac:dyDescent="0.25">
      <c r="A12" s="347"/>
      <c r="B12" s="276" t="s">
        <v>314</v>
      </c>
      <c r="C12" s="255" t="s">
        <v>315</v>
      </c>
      <c r="D12" s="348">
        <v>2950000</v>
      </c>
      <c r="E12" s="348">
        <f t="shared" si="0"/>
        <v>2305840</v>
      </c>
      <c r="F12" s="348">
        <v>2950000</v>
      </c>
      <c r="G12" s="349">
        <f t="shared" si="2"/>
        <v>2301988</v>
      </c>
      <c r="H12" s="256"/>
      <c r="I12" s="256"/>
      <c r="J12" s="348">
        <v>737500</v>
      </c>
      <c r="K12" s="349">
        <f t="shared" si="3"/>
        <v>232358</v>
      </c>
      <c r="L12" s="276"/>
      <c r="M12" s="276"/>
      <c r="N12" s="349"/>
      <c r="O12" s="350">
        <v>27</v>
      </c>
      <c r="P12" s="276"/>
      <c r="Q12" s="351">
        <v>8258</v>
      </c>
      <c r="R12" s="350">
        <v>729</v>
      </c>
      <c r="S12" s="276"/>
      <c r="T12" s="351">
        <v>224100</v>
      </c>
      <c r="U12" s="350">
        <v>925</v>
      </c>
      <c r="V12" s="276"/>
      <c r="W12" s="348">
        <v>401500</v>
      </c>
      <c r="X12" s="348">
        <f t="shared" si="4"/>
        <v>785713</v>
      </c>
      <c r="Y12" s="276"/>
      <c r="Z12" s="276"/>
      <c r="AA12" s="348">
        <v>285227</v>
      </c>
      <c r="AB12" s="354">
        <v>718</v>
      </c>
      <c r="AC12" s="276"/>
      <c r="AD12" s="348">
        <v>221880</v>
      </c>
      <c r="AE12" s="354">
        <v>903</v>
      </c>
      <c r="AF12" s="276"/>
      <c r="AG12" s="348">
        <v>278606</v>
      </c>
      <c r="AH12" s="354">
        <v>928</v>
      </c>
      <c r="AI12" s="276"/>
      <c r="AJ12" s="348">
        <v>1073500</v>
      </c>
      <c r="AK12" s="348">
        <f t="shared" si="5"/>
        <v>621750</v>
      </c>
      <c r="AL12" s="276"/>
      <c r="AM12" s="276"/>
      <c r="AN12" s="348">
        <v>0</v>
      </c>
      <c r="AO12" s="350">
        <v>832</v>
      </c>
      <c r="AP12" s="276"/>
      <c r="AQ12" s="348">
        <v>541728</v>
      </c>
      <c r="AR12" s="350">
        <v>260</v>
      </c>
      <c r="AS12" s="276"/>
      <c r="AT12" s="348">
        <v>80022</v>
      </c>
      <c r="AU12" s="350">
        <v>904</v>
      </c>
      <c r="AV12" s="276"/>
      <c r="AW12" s="348">
        <v>93340</v>
      </c>
      <c r="AX12" s="348">
        <f t="shared" si="6"/>
        <v>662167</v>
      </c>
      <c r="AY12" s="276"/>
      <c r="AZ12" s="276"/>
      <c r="BA12" s="348">
        <v>277896</v>
      </c>
      <c r="BB12" s="350">
        <v>660</v>
      </c>
      <c r="BC12" s="276"/>
      <c r="BD12" s="348">
        <v>203118</v>
      </c>
      <c r="BE12" s="350">
        <v>589</v>
      </c>
      <c r="BF12" s="276"/>
      <c r="BG12" s="348">
        <v>181153</v>
      </c>
      <c r="BH12" s="350"/>
      <c r="BI12" s="276"/>
      <c r="BJ12" s="352"/>
      <c r="BK12" s="347"/>
    </row>
    <row r="13" spans="1:63" s="355" customFormat="1" ht="63" customHeight="1" x14ac:dyDescent="0.25">
      <c r="A13" s="347"/>
      <c r="B13" s="276" t="s">
        <v>316</v>
      </c>
      <c r="C13" s="255" t="s">
        <v>317</v>
      </c>
      <c r="D13" s="348">
        <v>40000</v>
      </c>
      <c r="E13" s="348">
        <f t="shared" si="0"/>
        <v>15000</v>
      </c>
      <c r="F13" s="348">
        <v>40000</v>
      </c>
      <c r="G13" s="349">
        <f t="shared" si="2"/>
        <v>14744</v>
      </c>
      <c r="H13" s="256"/>
      <c r="I13" s="256"/>
      <c r="J13" s="348">
        <v>1000</v>
      </c>
      <c r="K13" s="349">
        <f t="shared" si="3"/>
        <v>860</v>
      </c>
      <c r="L13" s="276"/>
      <c r="M13" s="276"/>
      <c r="N13" s="349">
        <v>860</v>
      </c>
      <c r="O13" s="350"/>
      <c r="P13" s="276"/>
      <c r="Q13" s="351"/>
      <c r="R13" s="350"/>
      <c r="S13" s="276"/>
      <c r="T13" s="351"/>
      <c r="U13" s="350">
        <v>19</v>
      </c>
      <c r="V13" s="276"/>
      <c r="W13" s="348">
        <v>10000</v>
      </c>
      <c r="X13" s="348">
        <f t="shared" si="4"/>
        <v>9190</v>
      </c>
      <c r="Y13" s="348"/>
      <c r="Z13" s="348"/>
      <c r="AA13" s="348">
        <v>4724</v>
      </c>
      <c r="AB13" s="354">
        <v>9</v>
      </c>
      <c r="AC13" s="348"/>
      <c r="AD13" s="348">
        <v>2230</v>
      </c>
      <c r="AE13" s="354">
        <v>9</v>
      </c>
      <c r="AF13" s="348"/>
      <c r="AG13" s="348">
        <v>2236</v>
      </c>
      <c r="AH13" s="354"/>
      <c r="AI13" s="348"/>
      <c r="AJ13" s="348">
        <v>4000</v>
      </c>
      <c r="AK13" s="348">
        <f t="shared" si="5"/>
        <v>2455</v>
      </c>
      <c r="AL13" s="348"/>
      <c r="AM13" s="348"/>
      <c r="AN13" s="348"/>
      <c r="AO13" s="350">
        <v>7</v>
      </c>
      <c r="AP13" s="348"/>
      <c r="AQ13" s="348">
        <v>1714</v>
      </c>
      <c r="AR13" s="350">
        <v>3</v>
      </c>
      <c r="AS13" s="348"/>
      <c r="AT13" s="348">
        <v>741</v>
      </c>
      <c r="AU13" s="350">
        <v>4</v>
      </c>
      <c r="AV13" s="348"/>
      <c r="AW13" s="348">
        <v>0</v>
      </c>
      <c r="AX13" s="348">
        <f t="shared" si="6"/>
        <v>2239</v>
      </c>
      <c r="AY13" s="356"/>
      <c r="AZ13" s="276"/>
      <c r="BA13" s="348">
        <v>999</v>
      </c>
      <c r="BB13" s="350">
        <v>2</v>
      </c>
      <c r="BC13" s="276"/>
      <c r="BD13" s="348">
        <v>495</v>
      </c>
      <c r="BE13" s="350"/>
      <c r="BF13" s="276"/>
      <c r="BG13" s="348">
        <v>745</v>
      </c>
      <c r="BH13" s="350">
        <v>3</v>
      </c>
      <c r="BI13" s="276"/>
      <c r="BJ13" s="352"/>
      <c r="BK13" s="347"/>
    </row>
    <row r="14" spans="1:63" s="355" customFormat="1" ht="44.25" customHeight="1" x14ac:dyDescent="0.25">
      <c r="A14" s="347"/>
      <c r="B14" s="276" t="s">
        <v>318</v>
      </c>
      <c r="C14" s="255" t="s">
        <v>319</v>
      </c>
      <c r="D14" s="348">
        <v>4000000</v>
      </c>
      <c r="E14" s="348">
        <f>J14+W14+AJ14+AW14</f>
        <v>3583000</v>
      </c>
      <c r="F14" s="348">
        <v>4000000</v>
      </c>
      <c r="G14" s="349">
        <f t="shared" si="2"/>
        <v>3545045.8</v>
      </c>
      <c r="H14" s="256"/>
      <c r="I14" s="256"/>
      <c r="J14" s="348">
        <v>1000000</v>
      </c>
      <c r="K14" s="349">
        <f t="shared" si="3"/>
        <v>886666.3</v>
      </c>
      <c r="L14" s="276"/>
      <c r="M14" s="276"/>
      <c r="N14" s="349">
        <v>0</v>
      </c>
      <c r="O14" s="354">
        <v>1614</v>
      </c>
      <c r="P14" s="354"/>
      <c r="Q14" s="351">
        <v>574451.75</v>
      </c>
      <c r="R14" s="354">
        <v>1588</v>
      </c>
      <c r="S14" s="276"/>
      <c r="T14" s="351">
        <v>312214.55</v>
      </c>
      <c r="U14" s="350">
        <v>1653</v>
      </c>
      <c r="V14" s="276"/>
      <c r="W14" s="348">
        <v>1000000</v>
      </c>
      <c r="X14" s="348">
        <f t="shared" si="4"/>
        <v>926836.25</v>
      </c>
      <c r="Y14" s="276"/>
      <c r="Z14" s="276"/>
      <c r="AA14" s="348">
        <v>310842.5</v>
      </c>
      <c r="AB14" s="354">
        <v>1671</v>
      </c>
      <c r="AC14" s="276"/>
      <c r="AD14" s="348">
        <v>278447.5</v>
      </c>
      <c r="AE14" s="354">
        <v>1672</v>
      </c>
      <c r="AF14" s="276"/>
      <c r="AG14" s="348">
        <v>337546.25</v>
      </c>
      <c r="AH14" s="354">
        <v>1689</v>
      </c>
      <c r="AI14" s="276"/>
      <c r="AJ14" s="348">
        <v>1000000</v>
      </c>
      <c r="AK14" s="348">
        <f t="shared" si="5"/>
        <v>770557.75</v>
      </c>
      <c r="AL14" s="348"/>
      <c r="AM14" s="348"/>
      <c r="AN14" s="348">
        <v>1386</v>
      </c>
      <c r="AO14" s="350">
        <v>1619</v>
      </c>
      <c r="AP14" s="348"/>
      <c r="AQ14" s="348">
        <v>303526</v>
      </c>
      <c r="AR14" s="350">
        <v>1119</v>
      </c>
      <c r="AS14" s="348"/>
      <c r="AT14" s="348">
        <v>465645.75</v>
      </c>
      <c r="AU14" s="350">
        <v>1717</v>
      </c>
      <c r="AV14" s="348"/>
      <c r="AW14" s="348">
        <v>583000</v>
      </c>
      <c r="AX14" s="348">
        <f t="shared" si="6"/>
        <v>960985.5</v>
      </c>
      <c r="AY14" s="276"/>
      <c r="AZ14" s="276"/>
      <c r="BA14" s="348">
        <v>324846</v>
      </c>
      <c r="BB14" s="350">
        <v>1708</v>
      </c>
      <c r="BC14" s="276"/>
      <c r="BD14" s="348">
        <v>0</v>
      </c>
      <c r="BE14" s="350">
        <v>1758</v>
      </c>
      <c r="BF14" s="276"/>
      <c r="BG14" s="348">
        <v>636139.5</v>
      </c>
      <c r="BH14" s="350">
        <v>1769</v>
      </c>
      <c r="BI14" s="276"/>
      <c r="BJ14" s="352"/>
      <c r="BK14" s="347"/>
    </row>
    <row r="15" spans="1:63" s="355" customFormat="1" ht="63" customHeight="1" x14ac:dyDescent="0.25">
      <c r="A15" s="347"/>
      <c r="B15" s="276" t="s">
        <v>320</v>
      </c>
      <c r="C15" s="255" t="s">
        <v>321</v>
      </c>
      <c r="D15" s="348">
        <v>4000000</v>
      </c>
      <c r="E15" s="348">
        <f>J15+W15+AJ15+AW15</f>
        <v>4548800</v>
      </c>
      <c r="F15" s="348">
        <v>4100000</v>
      </c>
      <c r="G15" s="349">
        <f t="shared" si="2"/>
        <v>4479615.7700000005</v>
      </c>
      <c r="H15" s="256"/>
      <c r="I15" s="256"/>
      <c r="J15" s="348">
        <v>1025000</v>
      </c>
      <c r="K15" s="349">
        <f t="shared" si="3"/>
        <v>192311.8</v>
      </c>
      <c r="L15" s="356"/>
      <c r="M15" s="276"/>
      <c r="N15" s="349">
        <v>0</v>
      </c>
      <c r="O15" s="350">
        <v>16</v>
      </c>
      <c r="P15" s="276"/>
      <c r="Q15" s="351">
        <f>Q16+Q17+Q18+Q19+Q20+Q21</f>
        <v>6666.4</v>
      </c>
      <c r="R15" s="350">
        <v>109</v>
      </c>
      <c r="S15" s="276"/>
      <c r="T15" s="351">
        <f>T16+T17+T18+T19+T20+T21</f>
        <v>185645.4</v>
      </c>
      <c r="U15" s="350">
        <v>230</v>
      </c>
      <c r="V15" s="276"/>
      <c r="W15" s="348">
        <v>1345000</v>
      </c>
      <c r="X15" s="348">
        <f t="shared" si="4"/>
        <v>2139801.7599999998</v>
      </c>
      <c r="Y15" s="356"/>
      <c r="Z15" s="276"/>
      <c r="AA15" s="348">
        <v>1362081.96</v>
      </c>
      <c r="AB15" s="354">
        <v>194</v>
      </c>
      <c r="AC15" s="276"/>
      <c r="AD15" s="348">
        <v>380326.28</v>
      </c>
      <c r="AE15" s="354">
        <v>406</v>
      </c>
      <c r="AF15" s="276"/>
      <c r="AG15" s="348">
        <v>397393.52</v>
      </c>
      <c r="AH15" s="354">
        <v>459</v>
      </c>
      <c r="AI15" s="276"/>
      <c r="AJ15" s="348">
        <v>851300</v>
      </c>
      <c r="AK15" s="348">
        <f t="shared" si="5"/>
        <v>886770.86</v>
      </c>
      <c r="AL15" s="356"/>
      <c r="AM15" s="276"/>
      <c r="AN15" s="348">
        <v>353540.52</v>
      </c>
      <c r="AO15" s="350">
        <v>504</v>
      </c>
      <c r="AP15" s="276"/>
      <c r="AQ15" s="348">
        <v>356102.5</v>
      </c>
      <c r="AR15" s="350">
        <v>132</v>
      </c>
      <c r="AS15" s="276"/>
      <c r="AT15" s="348">
        <v>177127.84</v>
      </c>
      <c r="AU15" s="350">
        <v>339</v>
      </c>
      <c r="AV15" s="276"/>
      <c r="AW15" s="348">
        <v>1327500</v>
      </c>
      <c r="AX15" s="348">
        <f t="shared" si="6"/>
        <v>1260731.3500000001</v>
      </c>
      <c r="AY15" s="356"/>
      <c r="AZ15" s="276"/>
      <c r="BA15" s="348">
        <v>160611.01999999999</v>
      </c>
      <c r="BB15" s="350">
        <v>397</v>
      </c>
      <c r="BC15" s="276"/>
      <c r="BD15" s="348">
        <v>196781.11</v>
      </c>
      <c r="BE15" s="350">
        <v>520</v>
      </c>
      <c r="BF15" s="276"/>
      <c r="BG15" s="348">
        <v>903339.22</v>
      </c>
      <c r="BH15" s="350">
        <v>57</v>
      </c>
      <c r="BI15" s="276"/>
      <c r="BJ15" s="352"/>
      <c r="BK15" s="347"/>
    </row>
    <row r="16" spans="1:63" s="365" customFormat="1" ht="38.25" customHeight="1" x14ac:dyDescent="0.25">
      <c r="A16" s="252"/>
      <c r="B16" s="357"/>
      <c r="C16" s="257" t="s">
        <v>322</v>
      </c>
      <c r="D16" s="358"/>
      <c r="E16" s="358"/>
      <c r="F16" s="308"/>
      <c r="G16" s="359">
        <f t="shared" si="2"/>
        <v>408120</v>
      </c>
      <c r="H16" s="256"/>
      <c r="I16" s="256"/>
      <c r="J16" s="358"/>
      <c r="K16" s="349">
        <f t="shared" si="3"/>
        <v>21480</v>
      </c>
      <c r="L16" s="348"/>
      <c r="M16" s="348"/>
      <c r="N16" s="359">
        <v>0</v>
      </c>
      <c r="O16" s="348"/>
      <c r="P16" s="348"/>
      <c r="Q16" s="359">
        <v>0</v>
      </c>
      <c r="R16" s="360">
        <v>6</v>
      </c>
      <c r="S16" s="348"/>
      <c r="T16" s="361">
        <v>21480</v>
      </c>
      <c r="U16" s="360">
        <v>34</v>
      </c>
      <c r="V16" s="357"/>
      <c r="W16" s="358"/>
      <c r="X16" s="348">
        <f t="shared" si="4"/>
        <v>247020</v>
      </c>
      <c r="Y16" s="362"/>
      <c r="Z16" s="357"/>
      <c r="AA16" s="358">
        <v>121720</v>
      </c>
      <c r="AB16" s="363">
        <v>20</v>
      </c>
      <c r="AC16" s="357"/>
      <c r="AD16" s="358">
        <v>71600</v>
      </c>
      <c r="AE16" s="363">
        <v>15</v>
      </c>
      <c r="AF16" s="357"/>
      <c r="AG16" s="358">
        <v>53700</v>
      </c>
      <c r="AH16" s="363">
        <v>3</v>
      </c>
      <c r="AI16" s="357"/>
      <c r="AJ16" s="358"/>
      <c r="AK16" s="348">
        <f t="shared" si="5"/>
        <v>139620</v>
      </c>
      <c r="AL16" s="362"/>
      <c r="AM16" s="357"/>
      <c r="AN16" s="358">
        <v>10740</v>
      </c>
      <c r="AO16" s="360">
        <v>22</v>
      </c>
      <c r="AP16" s="357"/>
      <c r="AQ16" s="358">
        <v>78760</v>
      </c>
      <c r="AR16" s="360">
        <v>14</v>
      </c>
      <c r="AS16" s="357"/>
      <c r="AT16" s="358">
        <v>50120</v>
      </c>
      <c r="AU16" s="360"/>
      <c r="AV16" s="357"/>
      <c r="AW16" s="358"/>
      <c r="AX16" s="348">
        <f t="shared" si="6"/>
        <v>0</v>
      </c>
      <c r="AY16" s="362"/>
      <c r="AZ16" s="357"/>
      <c r="BA16" s="358"/>
      <c r="BB16" s="360"/>
      <c r="BC16" s="357"/>
      <c r="BD16" s="358"/>
      <c r="BE16" s="360"/>
      <c r="BF16" s="357"/>
      <c r="BG16" s="358"/>
      <c r="BH16" s="360"/>
      <c r="BI16" s="357"/>
      <c r="BJ16" s="364"/>
      <c r="BK16" s="252"/>
    </row>
    <row r="17" spans="1:63" s="365" customFormat="1" ht="40.5" customHeight="1" x14ac:dyDescent="0.25">
      <c r="A17" s="252"/>
      <c r="B17" s="357"/>
      <c r="C17" s="257" t="s">
        <v>323</v>
      </c>
      <c r="D17" s="358"/>
      <c r="E17" s="358"/>
      <c r="F17" s="308"/>
      <c r="G17" s="359">
        <f t="shared" si="2"/>
        <v>143136</v>
      </c>
      <c r="H17" s="256"/>
      <c r="I17" s="256"/>
      <c r="J17" s="358"/>
      <c r="K17" s="349">
        <f t="shared" si="3"/>
        <v>11424</v>
      </c>
      <c r="L17" s="348"/>
      <c r="M17" s="348"/>
      <c r="N17" s="359">
        <v>0</v>
      </c>
      <c r="O17" s="348"/>
      <c r="P17" s="348"/>
      <c r="Q17" s="359">
        <v>0</v>
      </c>
      <c r="R17" s="360">
        <v>22</v>
      </c>
      <c r="S17" s="348"/>
      <c r="T17" s="361">
        <v>11424</v>
      </c>
      <c r="U17" s="360">
        <v>39</v>
      </c>
      <c r="V17" s="357"/>
      <c r="W17" s="358"/>
      <c r="X17" s="348">
        <f t="shared" si="4"/>
        <v>62272</v>
      </c>
      <c r="Y17" s="362"/>
      <c r="Z17" s="357"/>
      <c r="AA17" s="358">
        <v>19824</v>
      </c>
      <c r="AB17" s="363">
        <v>31</v>
      </c>
      <c r="AC17" s="357"/>
      <c r="AD17" s="358">
        <v>15904</v>
      </c>
      <c r="AE17" s="363">
        <v>50</v>
      </c>
      <c r="AF17" s="357"/>
      <c r="AG17" s="358">
        <v>26544</v>
      </c>
      <c r="AH17" s="363">
        <v>44</v>
      </c>
      <c r="AI17" s="357"/>
      <c r="AJ17" s="358"/>
      <c r="AK17" s="348">
        <f t="shared" si="5"/>
        <v>69440</v>
      </c>
      <c r="AL17" s="362"/>
      <c r="AM17" s="357"/>
      <c r="AN17" s="358">
        <v>21840</v>
      </c>
      <c r="AO17" s="360">
        <v>75</v>
      </c>
      <c r="AP17" s="357"/>
      <c r="AQ17" s="358">
        <v>37296</v>
      </c>
      <c r="AR17" s="360">
        <v>20</v>
      </c>
      <c r="AS17" s="357"/>
      <c r="AT17" s="358">
        <v>10304</v>
      </c>
      <c r="AU17" s="360">
        <v>35</v>
      </c>
      <c r="AV17" s="357"/>
      <c r="AW17" s="358"/>
      <c r="AX17" s="348">
        <f t="shared" si="6"/>
        <v>0</v>
      </c>
      <c r="AY17" s="362"/>
      <c r="AZ17" s="357"/>
      <c r="BA17" s="358"/>
      <c r="BB17" s="360"/>
      <c r="BC17" s="357"/>
      <c r="BD17" s="358"/>
      <c r="BE17" s="360"/>
      <c r="BF17" s="357"/>
      <c r="BG17" s="358"/>
      <c r="BH17" s="360"/>
      <c r="BI17" s="357"/>
      <c r="BJ17" s="364"/>
      <c r="BK17" s="252"/>
    </row>
    <row r="18" spans="1:63" s="365" customFormat="1" ht="38.25" customHeight="1" x14ac:dyDescent="0.25">
      <c r="A18" s="252"/>
      <c r="B18" s="357"/>
      <c r="C18" s="257" t="s">
        <v>324</v>
      </c>
      <c r="D18" s="358"/>
      <c r="E18" s="358"/>
      <c r="F18" s="308"/>
      <c r="G18" s="359">
        <f t="shared" si="2"/>
        <v>1411264.5</v>
      </c>
      <c r="H18" s="256"/>
      <c r="I18" s="256"/>
      <c r="J18" s="358"/>
      <c r="K18" s="349">
        <f t="shared" si="3"/>
        <v>149075</v>
      </c>
      <c r="L18" s="348"/>
      <c r="M18" s="348"/>
      <c r="N18" s="359">
        <v>0</v>
      </c>
      <c r="O18" s="348"/>
      <c r="P18" s="348"/>
      <c r="Q18" s="359">
        <v>0</v>
      </c>
      <c r="R18" s="360">
        <v>65</v>
      </c>
      <c r="S18" s="348"/>
      <c r="T18" s="361">
        <v>149075</v>
      </c>
      <c r="U18" s="360">
        <v>107</v>
      </c>
      <c r="V18" s="357"/>
      <c r="W18" s="358"/>
      <c r="X18" s="348">
        <f t="shared" si="4"/>
        <v>795985</v>
      </c>
      <c r="Y18" s="362"/>
      <c r="Z18" s="357"/>
      <c r="AA18" s="358">
        <v>276414</v>
      </c>
      <c r="AB18" s="363">
        <v>103</v>
      </c>
      <c r="AC18" s="357"/>
      <c r="AD18" s="358">
        <v>275406</v>
      </c>
      <c r="AE18" s="363">
        <v>91</v>
      </c>
      <c r="AF18" s="357"/>
      <c r="AG18" s="358">
        <v>244165</v>
      </c>
      <c r="AH18" s="363">
        <v>89</v>
      </c>
      <c r="AI18" s="357"/>
      <c r="AJ18" s="358"/>
      <c r="AK18" s="348">
        <f t="shared" si="5"/>
        <v>466204.5</v>
      </c>
      <c r="AL18" s="362"/>
      <c r="AM18" s="357"/>
      <c r="AN18" s="358">
        <v>225882</v>
      </c>
      <c r="AO18" s="360">
        <v>71</v>
      </c>
      <c r="AP18" s="357"/>
      <c r="AQ18" s="358">
        <v>146110.1</v>
      </c>
      <c r="AR18" s="360">
        <v>35</v>
      </c>
      <c r="AS18" s="357"/>
      <c r="AT18" s="358">
        <v>94212.4</v>
      </c>
      <c r="AU18" s="360"/>
      <c r="AV18" s="357"/>
      <c r="AW18" s="358"/>
      <c r="AX18" s="348">
        <f t="shared" si="6"/>
        <v>0</v>
      </c>
      <c r="AY18" s="362"/>
      <c r="AZ18" s="357"/>
      <c r="BA18" s="358"/>
      <c r="BB18" s="360"/>
      <c r="BC18" s="357"/>
      <c r="BD18" s="358"/>
      <c r="BE18" s="360"/>
      <c r="BF18" s="357"/>
      <c r="BG18" s="358"/>
      <c r="BH18" s="360"/>
      <c r="BI18" s="357"/>
      <c r="BJ18" s="364"/>
      <c r="BK18" s="252"/>
    </row>
    <row r="19" spans="1:63" s="365" customFormat="1" ht="35.25" customHeight="1" x14ac:dyDescent="0.25">
      <c r="A19" s="252"/>
      <c r="B19" s="357"/>
      <c r="C19" s="257" t="s">
        <v>325</v>
      </c>
      <c r="D19" s="358"/>
      <c r="E19" s="358"/>
      <c r="F19" s="308"/>
      <c r="G19" s="359">
        <f t="shared" si="2"/>
        <v>198535.98</v>
      </c>
      <c r="H19" s="256"/>
      <c r="I19" s="256"/>
      <c r="J19" s="358"/>
      <c r="K19" s="349">
        <f t="shared" si="3"/>
        <v>0</v>
      </c>
      <c r="L19" s="348"/>
      <c r="M19" s="348"/>
      <c r="N19" s="359">
        <v>0</v>
      </c>
      <c r="O19" s="348"/>
      <c r="P19" s="348"/>
      <c r="Q19" s="359">
        <v>0</v>
      </c>
      <c r="R19" s="360"/>
      <c r="S19" s="348"/>
      <c r="T19" s="361">
        <v>0</v>
      </c>
      <c r="U19" s="360"/>
      <c r="V19" s="357"/>
      <c r="W19" s="358"/>
      <c r="X19" s="348">
        <f t="shared" si="4"/>
        <v>48777.1</v>
      </c>
      <c r="Y19" s="357"/>
      <c r="Z19" s="357"/>
      <c r="AA19" s="358"/>
      <c r="AB19" s="363"/>
      <c r="AC19" s="357"/>
      <c r="AD19" s="358"/>
      <c r="AE19" s="363">
        <v>185</v>
      </c>
      <c r="AF19" s="357"/>
      <c r="AG19" s="358">
        <v>48777.1</v>
      </c>
      <c r="AH19" s="363">
        <v>259</v>
      </c>
      <c r="AI19" s="357"/>
      <c r="AJ19" s="358"/>
      <c r="AK19" s="348">
        <f t="shared" si="5"/>
        <v>149758.88</v>
      </c>
      <c r="AL19" s="362"/>
      <c r="AM19" s="357"/>
      <c r="AN19" s="358">
        <v>68287.94</v>
      </c>
      <c r="AO19" s="360">
        <v>273</v>
      </c>
      <c r="AP19" s="357"/>
      <c r="AQ19" s="358">
        <v>71979.179999999993</v>
      </c>
      <c r="AR19" s="360">
        <v>36</v>
      </c>
      <c r="AS19" s="357"/>
      <c r="AT19" s="358">
        <v>9491.76</v>
      </c>
      <c r="AU19" s="360">
        <v>253</v>
      </c>
      <c r="AV19" s="357"/>
      <c r="AW19" s="358"/>
      <c r="AX19" s="348">
        <f t="shared" si="6"/>
        <v>0</v>
      </c>
      <c r="AY19" s="362"/>
      <c r="AZ19" s="357"/>
      <c r="BA19" s="358"/>
      <c r="BB19" s="360"/>
      <c r="BC19" s="357"/>
      <c r="BD19" s="358"/>
      <c r="BE19" s="360"/>
      <c r="BF19" s="357"/>
      <c r="BG19" s="358"/>
      <c r="BH19" s="360"/>
      <c r="BI19" s="357"/>
      <c r="BJ19" s="364"/>
      <c r="BK19" s="252"/>
    </row>
    <row r="20" spans="1:63" s="365" customFormat="1" ht="27" customHeight="1" x14ac:dyDescent="0.25">
      <c r="A20" s="252"/>
      <c r="B20" s="357"/>
      <c r="C20" s="257" t="s">
        <v>326</v>
      </c>
      <c r="D20" s="358"/>
      <c r="E20" s="358"/>
      <c r="F20" s="308"/>
      <c r="G20" s="359">
        <f t="shared" si="2"/>
        <v>1057827.94</v>
      </c>
      <c r="H20" s="256"/>
      <c r="I20" s="256"/>
      <c r="J20" s="358"/>
      <c r="K20" s="349">
        <f t="shared" si="3"/>
        <v>10332.799999999999</v>
      </c>
      <c r="L20" s="348"/>
      <c r="M20" s="348"/>
      <c r="N20" s="359">
        <v>0</v>
      </c>
      <c r="O20" s="360">
        <v>16</v>
      </c>
      <c r="P20" s="348"/>
      <c r="Q20" s="361">
        <v>6666.4</v>
      </c>
      <c r="R20" s="360">
        <v>12</v>
      </c>
      <c r="S20" s="348"/>
      <c r="T20" s="361">
        <v>3666.4</v>
      </c>
      <c r="U20" s="360">
        <v>40</v>
      </c>
      <c r="V20" s="357"/>
      <c r="W20" s="358"/>
      <c r="X20" s="348">
        <f t="shared" si="4"/>
        <v>985747.66000000015</v>
      </c>
      <c r="Y20" s="357"/>
      <c r="Z20" s="357"/>
      <c r="AA20" s="358">
        <f>332.8+943791.16</f>
        <v>944123.96000000008</v>
      </c>
      <c r="AB20" s="363">
        <v>38</v>
      </c>
      <c r="AC20" s="357"/>
      <c r="AD20" s="358">
        <f>17749.11-332.83</f>
        <v>17416.28</v>
      </c>
      <c r="AE20" s="363">
        <v>58</v>
      </c>
      <c r="AF20" s="357"/>
      <c r="AG20" s="358">
        <v>24207.42</v>
      </c>
      <c r="AH20" s="363">
        <v>60</v>
      </c>
      <c r="AI20" s="357"/>
      <c r="AJ20" s="358"/>
      <c r="AK20" s="348">
        <f t="shared" si="5"/>
        <v>61747.48</v>
      </c>
      <c r="AL20" s="362"/>
      <c r="AM20" s="357"/>
      <c r="AN20" s="358">
        <v>26790.58</v>
      </c>
      <c r="AO20" s="360">
        <v>56</v>
      </c>
      <c r="AP20" s="357"/>
      <c r="AQ20" s="358">
        <v>21957.22</v>
      </c>
      <c r="AR20" s="360">
        <v>23</v>
      </c>
      <c r="AS20" s="357"/>
      <c r="AT20" s="358">
        <v>12999.68</v>
      </c>
      <c r="AU20" s="360">
        <v>15</v>
      </c>
      <c r="AV20" s="357"/>
      <c r="AW20" s="358"/>
      <c r="AX20" s="348">
        <f t="shared" si="6"/>
        <v>0</v>
      </c>
      <c r="AY20" s="362"/>
      <c r="AZ20" s="357"/>
      <c r="BA20" s="358"/>
      <c r="BB20" s="360"/>
      <c r="BC20" s="357"/>
      <c r="BD20" s="358"/>
      <c r="BE20" s="360"/>
      <c r="BF20" s="357"/>
      <c r="BG20" s="358"/>
      <c r="BH20" s="360"/>
      <c r="BI20" s="357"/>
      <c r="BJ20" s="364"/>
      <c r="BK20" s="252"/>
    </row>
    <row r="21" spans="1:63" s="365" customFormat="1" ht="37.5" customHeight="1" x14ac:dyDescent="0.25">
      <c r="A21" s="252"/>
      <c r="B21" s="357"/>
      <c r="C21" s="257" t="s">
        <v>327</v>
      </c>
      <c r="D21" s="358"/>
      <c r="E21" s="358"/>
      <c r="F21" s="308"/>
      <c r="G21" s="359">
        <f t="shared" si="2"/>
        <v>0</v>
      </c>
      <c r="H21" s="256"/>
      <c r="I21" s="256"/>
      <c r="J21" s="358"/>
      <c r="K21" s="349">
        <f t="shared" si="3"/>
        <v>0</v>
      </c>
      <c r="L21" s="348"/>
      <c r="M21" s="348"/>
      <c r="N21" s="359">
        <v>0</v>
      </c>
      <c r="O21" s="360"/>
      <c r="P21" s="358"/>
      <c r="Q21" s="361">
        <v>0</v>
      </c>
      <c r="R21" s="360">
        <v>4</v>
      </c>
      <c r="S21" s="348"/>
      <c r="T21" s="361">
        <v>0</v>
      </c>
      <c r="U21" s="360">
        <v>10</v>
      </c>
      <c r="V21" s="357"/>
      <c r="W21" s="358"/>
      <c r="X21" s="348">
        <f t="shared" si="4"/>
        <v>0</v>
      </c>
      <c r="Y21" s="362"/>
      <c r="Z21" s="357"/>
      <c r="AA21" s="358"/>
      <c r="AB21" s="363">
        <v>2</v>
      </c>
      <c r="AC21" s="357"/>
      <c r="AD21" s="358"/>
      <c r="AE21" s="363">
        <v>7</v>
      </c>
      <c r="AF21" s="357"/>
      <c r="AG21" s="358"/>
      <c r="AH21" s="363">
        <v>4</v>
      </c>
      <c r="AI21" s="357"/>
      <c r="AJ21" s="358"/>
      <c r="AK21" s="348">
        <f t="shared" si="5"/>
        <v>0</v>
      </c>
      <c r="AL21" s="362"/>
      <c r="AM21" s="357"/>
      <c r="AN21" s="358"/>
      <c r="AO21" s="360">
        <v>7</v>
      </c>
      <c r="AP21" s="357"/>
      <c r="AQ21" s="358"/>
      <c r="AR21" s="360">
        <v>4</v>
      </c>
      <c r="AS21" s="357"/>
      <c r="AT21" s="358"/>
      <c r="AU21" s="360"/>
      <c r="AV21" s="357"/>
      <c r="AW21" s="358"/>
      <c r="AX21" s="348">
        <f t="shared" si="6"/>
        <v>0</v>
      </c>
      <c r="AY21" s="362"/>
      <c r="AZ21" s="357"/>
      <c r="BA21" s="358"/>
      <c r="BB21" s="360"/>
      <c r="BC21" s="357"/>
      <c r="BD21" s="358"/>
      <c r="BE21" s="360"/>
      <c r="BF21" s="357"/>
      <c r="BG21" s="358"/>
      <c r="BH21" s="360"/>
      <c r="BI21" s="357"/>
      <c r="BJ21" s="364"/>
      <c r="BK21" s="252"/>
    </row>
    <row r="22" spans="1:63" s="355" customFormat="1" ht="63" customHeight="1" x14ac:dyDescent="0.25">
      <c r="A22" s="347"/>
      <c r="B22" s="276" t="s">
        <v>328</v>
      </c>
      <c r="C22" s="255" t="s">
        <v>329</v>
      </c>
      <c r="D22" s="348">
        <v>48000</v>
      </c>
      <c r="E22" s="348">
        <f>J22+W22+AJ22+AW22</f>
        <v>48000</v>
      </c>
      <c r="F22" s="348">
        <v>48000</v>
      </c>
      <c r="G22" s="349">
        <f t="shared" si="2"/>
        <v>48000</v>
      </c>
      <c r="H22" s="256"/>
      <c r="I22" s="256"/>
      <c r="J22" s="348">
        <v>12000</v>
      </c>
      <c r="K22" s="349">
        <f t="shared" si="3"/>
        <v>12000</v>
      </c>
      <c r="L22" s="356"/>
      <c r="M22" s="276"/>
      <c r="N22" s="349">
        <v>4000</v>
      </c>
      <c r="O22" s="350">
        <v>160</v>
      </c>
      <c r="P22" s="276"/>
      <c r="Q22" s="351">
        <v>4000</v>
      </c>
      <c r="R22" s="350">
        <v>146</v>
      </c>
      <c r="S22" s="276"/>
      <c r="T22" s="351">
        <v>4000</v>
      </c>
      <c r="U22" s="350">
        <v>180</v>
      </c>
      <c r="V22" s="276"/>
      <c r="W22" s="348">
        <v>12000</v>
      </c>
      <c r="X22" s="348">
        <f t="shared" si="4"/>
        <v>12000</v>
      </c>
      <c r="Y22" s="348"/>
      <c r="Z22" s="348"/>
      <c r="AA22" s="348">
        <v>4000</v>
      </c>
      <c r="AB22" s="354">
        <v>140</v>
      </c>
      <c r="AC22" s="348"/>
      <c r="AD22" s="348">
        <v>4000</v>
      </c>
      <c r="AE22" s="354">
        <v>151</v>
      </c>
      <c r="AF22" s="348"/>
      <c r="AG22" s="348">
        <v>4000</v>
      </c>
      <c r="AH22" s="354">
        <v>170</v>
      </c>
      <c r="AI22" s="348"/>
      <c r="AJ22" s="348">
        <v>12000</v>
      </c>
      <c r="AK22" s="348">
        <f t="shared" si="5"/>
        <v>12000</v>
      </c>
      <c r="AL22" s="348"/>
      <c r="AM22" s="348"/>
      <c r="AN22" s="348">
        <v>4000</v>
      </c>
      <c r="AO22" s="350">
        <v>143</v>
      </c>
      <c r="AP22" s="348"/>
      <c r="AQ22" s="348">
        <v>4000</v>
      </c>
      <c r="AR22" s="350">
        <v>120</v>
      </c>
      <c r="AS22" s="348"/>
      <c r="AT22" s="348">
        <v>4000</v>
      </c>
      <c r="AU22" s="350">
        <v>138</v>
      </c>
      <c r="AV22" s="348"/>
      <c r="AW22" s="348">
        <v>12000</v>
      </c>
      <c r="AX22" s="348">
        <f t="shared" si="6"/>
        <v>12000</v>
      </c>
      <c r="AY22" s="356"/>
      <c r="AZ22" s="276"/>
      <c r="BA22" s="348">
        <v>4000</v>
      </c>
      <c r="BB22" s="350">
        <v>135</v>
      </c>
      <c r="BC22" s="276"/>
      <c r="BD22" s="348">
        <v>4000</v>
      </c>
      <c r="BE22" s="350">
        <v>126</v>
      </c>
      <c r="BF22" s="276"/>
      <c r="BG22" s="348">
        <v>4000</v>
      </c>
      <c r="BH22" s="350">
        <v>138</v>
      </c>
      <c r="BI22" s="276"/>
      <c r="BJ22" s="352"/>
      <c r="BK22" s="347"/>
    </row>
    <row r="23" spans="1:63" s="355" customFormat="1" ht="78.75" customHeight="1" x14ac:dyDescent="0.25">
      <c r="A23" s="347"/>
      <c r="B23" s="276" t="s">
        <v>330</v>
      </c>
      <c r="C23" s="255" t="s">
        <v>331</v>
      </c>
      <c r="D23" s="348">
        <v>370000</v>
      </c>
      <c r="E23" s="348">
        <f>J23+W23+AJ23+AW23</f>
        <v>400000</v>
      </c>
      <c r="F23" s="348">
        <v>370000</v>
      </c>
      <c r="G23" s="349">
        <f t="shared" si="2"/>
        <v>390974.5</v>
      </c>
      <c r="H23" s="256"/>
      <c r="I23" s="256"/>
      <c r="J23" s="348">
        <v>97350</v>
      </c>
      <c r="K23" s="349">
        <f t="shared" si="3"/>
        <v>97316.5</v>
      </c>
      <c r="L23" s="356"/>
      <c r="M23" s="276"/>
      <c r="N23" s="349">
        <v>33558</v>
      </c>
      <c r="O23" s="350">
        <v>65</v>
      </c>
      <c r="P23" s="276"/>
      <c r="Q23" s="351">
        <v>32878</v>
      </c>
      <c r="R23" s="350">
        <v>63</v>
      </c>
      <c r="S23" s="276"/>
      <c r="T23" s="351">
        <v>30880.5</v>
      </c>
      <c r="U23" s="350">
        <v>71</v>
      </c>
      <c r="V23" s="276"/>
      <c r="W23" s="348">
        <v>103650</v>
      </c>
      <c r="X23" s="348">
        <f t="shared" si="4"/>
        <v>101906.5</v>
      </c>
      <c r="Y23" s="276"/>
      <c r="Z23" s="276"/>
      <c r="AA23" s="348">
        <v>35504.5</v>
      </c>
      <c r="AB23" s="354">
        <v>72</v>
      </c>
      <c r="AC23" s="276"/>
      <c r="AD23" s="348">
        <v>32861</v>
      </c>
      <c r="AE23" s="354">
        <v>64</v>
      </c>
      <c r="AF23" s="276"/>
      <c r="AG23" s="348">
        <v>33541</v>
      </c>
      <c r="AH23" s="354">
        <v>58</v>
      </c>
      <c r="AI23" s="276"/>
      <c r="AJ23" s="348">
        <v>94300</v>
      </c>
      <c r="AK23" s="348">
        <f t="shared" si="5"/>
        <v>96007.5</v>
      </c>
      <c r="AL23" s="276"/>
      <c r="AM23" s="276"/>
      <c r="AN23" s="348">
        <v>31943</v>
      </c>
      <c r="AO23" s="350">
        <v>71</v>
      </c>
      <c r="AP23" s="276"/>
      <c r="AQ23" s="348">
        <v>31373.5</v>
      </c>
      <c r="AR23" s="350">
        <v>64</v>
      </c>
      <c r="AS23" s="276"/>
      <c r="AT23" s="348">
        <v>32691</v>
      </c>
      <c r="AU23" s="350">
        <v>65</v>
      </c>
      <c r="AV23" s="276"/>
      <c r="AW23" s="348">
        <v>104700</v>
      </c>
      <c r="AX23" s="348">
        <f t="shared" si="6"/>
        <v>95744</v>
      </c>
      <c r="AY23" s="276"/>
      <c r="AZ23" s="276"/>
      <c r="BA23" s="348">
        <v>31637</v>
      </c>
      <c r="BB23" s="350">
        <v>57</v>
      </c>
      <c r="BC23" s="276"/>
      <c r="BD23" s="348">
        <v>32920.5</v>
      </c>
      <c r="BE23" s="350">
        <v>62</v>
      </c>
      <c r="BF23" s="276"/>
      <c r="BG23" s="348">
        <v>31186.5</v>
      </c>
      <c r="BH23" s="350">
        <v>58</v>
      </c>
      <c r="BI23" s="276"/>
      <c r="BJ23" s="352"/>
      <c r="BK23" s="347"/>
    </row>
    <row r="24" spans="1:63" s="355" customFormat="1" ht="72.75" customHeight="1" x14ac:dyDescent="0.25">
      <c r="A24" s="347"/>
      <c r="B24" s="276" t="s">
        <v>332</v>
      </c>
      <c r="C24" s="255" t="s">
        <v>333</v>
      </c>
      <c r="D24" s="348">
        <v>8180000</v>
      </c>
      <c r="E24" s="348">
        <f>J24+W24+AJ24+AW24</f>
        <v>7735425</v>
      </c>
      <c r="F24" s="348">
        <v>8180000</v>
      </c>
      <c r="G24" s="349">
        <f t="shared" si="2"/>
        <v>10735425</v>
      </c>
      <c r="H24" s="256"/>
      <c r="I24" s="256"/>
      <c r="J24" s="348">
        <v>2040150</v>
      </c>
      <c r="K24" s="349">
        <f t="shared" si="3"/>
        <v>1867305</v>
      </c>
      <c r="L24" s="276"/>
      <c r="M24" s="276"/>
      <c r="N24" s="349">
        <v>625390</v>
      </c>
      <c r="O24" s="354">
        <v>1465</v>
      </c>
      <c r="P24" s="354"/>
      <c r="Q24" s="351">
        <v>648245</v>
      </c>
      <c r="R24" s="354">
        <v>1474</v>
      </c>
      <c r="S24" s="354"/>
      <c r="T24" s="351">
        <v>593670</v>
      </c>
      <c r="U24" s="354">
        <v>1468</v>
      </c>
      <c r="V24" s="276"/>
      <c r="W24" s="348">
        <v>2049850</v>
      </c>
      <c r="X24" s="348">
        <f t="shared" si="4"/>
        <v>1975540</v>
      </c>
      <c r="Y24" s="276"/>
      <c r="Z24" s="276"/>
      <c r="AA24" s="348">
        <v>658165</v>
      </c>
      <c r="AB24" s="354">
        <v>1490</v>
      </c>
      <c r="AC24" s="276"/>
      <c r="AD24" s="348">
        <v>652320</v>
      </c>
      <c r="AE24" s="354">
        <v>1491</v>
      </c>
      <c r="AF24" s="276"/>
      <c r="AG24" s="348">
        <v>665055</v>
      </c>
      <c r="AH24" s="354">
        <v>1496</v>
      </c>
      <c r="AI24" s="276"/>
      <c r="AJ24" s="348">
        <v>2045000</v>
      </c>
      <c r="AK24" s="348">
        <f t="shared" si="5"/>
        <v>1972945</v>
      </c>
      <c r="AL24" s="276"/>
      <c r="AM24" s="276"/>
      <c r="AN24" s="348">
        <v>647405</v>
      </c>
      <c r="AO24" s="350">
        <v>1492</v>
      </c>
      <c r="AP24" s="276"/>
      <c r="AQ24" s="348">
        <v>663195</v>
      </c>
      <c r="AR24" s="350">
        <v>1483</v>
      </c>
      <c r="AS24" s="276"/>
      <c r="AT24" s="348">
        <v>662345</v>
      </c>
      <c r="AU24" s="350">
        <v>1476</v>
      </c>
      <c r="AV24" s="276"/>
      <c r="AW24" s="348">
        <v>1600425</v>
      </c>
      <c r="AX24" s="348">
        <f t="shared" si="6"/>
        <v>4919635</v>
      </c>
      <c r="AY24" s="276"/>
      <c r="AZ24" s="276"/>
      <c r="BA24" s="348">
        <v>3635850</v>
      </c>
      <c r="BB24" s="350">
        <v>1460</v>
      </c>
      <c r="BC24" s="276"/>
      <c r="BD24" s="348">
        <v>654880</v>
      </c>
      <c r="BE24" s="350">
        <v>1456</v>
      </c>
      <c r="BF24" s="276"/>
      <c r="BG24" s="348">
        <v>628905</v>
      </c>
      <c r="BH24" s="350"/>
      <c r="BI24" s="276"/>
      <c r="BJ24" s="352"/>
      <c r="BK24" s="347"/>
    </row>
    <row r="25" spans="1:63" s="355" customFormat="1" ht="57.75" customHeight="1" x14ac:dyDescent="0.25">
      <c r="A25" s="347"/>
      <c r="B25" s="276" t="s">
        <v>334</v>
      </c>
      <c r="C25" s="255" t="s">
        <v>335</v>
      </c>
      <c r="D25" s="348">
        <v>2350000</v>
      </c>
      <c r="E25" s="348">
        <f>J25+W25+AJ25+AW25</f>
        <v>2238175</v>
      </c>
      <c r="F25" s="348">
        <v>2350000</v>
      </c>
      <c r="G25" s="349">
        <f t="shared" si="2"/>
        <v>2238172</v>
      </c>
      <c r="H25" s="256"/>
      <c r="I25" s="256"/>
      <c r="J25" s="348">
        <v>587500</v>
      </c>
      <c r="K25" s="349">
        <f t="shared" si="3"/>
        <v>541890.5</v>
      </c>
      <c r="L25" s="276"/>
      <c r="M25" s="276"/>
      <c r="N25" s="349">
        <v>188293</v>
      </c>
      <c r="O25" s="350">
        <v>312</v>
      </c>
      <c r="P25" s="276"/>
      <c r="Q25" s="351">
        <v>184082</v>
      </c>
      <c r="R25" s="350">
        <v>314</v>
      </c>
      <c r="S25" s="276"/>
      <c r="T25" s="351">
        <v>169515.5</v>
      </c>
      <c r="U25" s="350">
        <v>323</v>
      </c>
      <c r="V25" s="276"/>
      <c r="W25" s="348">
        <v>587500</v>
      </c>
      <c r="X25" s="348">
        <f t="shared" si="4"/>
        <v>563445</v>
      </c>
      <c r="Y25" s="348"/>
      <c r="Z25" s="348"/>
      <c r="AA25" s="348">
        <v>185082.5</v>
      </c>
      <c r="AB25" s="354">
        <v>325</v>
      </c>
      <c r="AC25" s="348"/>
      <c r="AD25" s="348">
        <v>184509</v>
      </c>
      <c r="AE25" s="354">
        <v>339</v>
      </c>
      <c r="AF25" s="348"/>
      <c r="AG25" s="348">
        <v>193853.5</v>
      </c>
      <c r="AH25" s="354">
        <v>333</v>
      </c>
      <c r="AI25" s="348"/>
      <c r="AJ25" s="348">
        <v>587500</v>
      </c>
      <c r="AK25" s="348">
        <f t="shared" si="5"/>
        <v>553678</v>
      </c>
      <c r="AL25" s="348"/>
      <c r="AM25" s="348"/>
      <c r="AN25" s="348">
        <v>188935</v>
      </c>
      <c r="AO25" s="354">
        <v>289</v>
      </c>
      <c r="AP25" s="348"/>
      <c r="AQ25" s="348">
        <v>172503.5</v>
      </c>
      <c r="AR25" s="350">
        <v>320</v>
      </c>
      <c r="AS25" s="348"/>
      <c r="AT25" s="348">
        <v>192239.5</v>
      </c>
      <c r="AU25" s="350">
        <v>324</v>
      </c>
      <c r="AV25" s="348"/>
      <c r="AW25" s="348">
        <v>475675</v>
      </c>
      <c r="AX25" s="348">
        <f t="shared" si="6"/>
        <v>579158.5</v>
      </c>
      <c r="AY25" s="276"/>
      <c r="AZ25" s="276"/>
      <c r="BA25" s="348">
        <v>205641</v>
      </c>
      <c r="BB25" s="350">
        <v>320</v>
      </c>
      <c r="BC25" s="276"/>
      <c r="BD25" s="348">
        <v>189868</v>
      </c>
      <c r="BE25" s="350">
        <v>319</v>
      </c>
      <c r="BF25" s="276"/>
      <c r="BG25" s="348">
        <v>183649.5</v>
      </c>
      <c r="BH25" s="350">
        <v>321</v>
      </c>
      <c r="BI25" s="276"/>
      <c r="BJ25" s="352"/>
      <c r="BK25" s="347"/>
    </row>
    <row r="26" spans="1:63" s="355" customFormat="1" ht="63" x14ac:dyDescent="0.25">
      <c r="A26" s="347"/>
      <c r="B26" s="276" t="s">
        <v>336</v>
      </c>
      <c r="C26" s="255" t="s">
        <v>337</v>
      </c>
      <c r="D26" s="348">
        <v>800000</v>
      </c>
      <c r="E26" s="348">
        <f t="shared" ref="E26:E33" si="7">J26+W26+AJ26+AW26</f>
        <v>748400</v>
      </c>
      <c r="F26" s="348">
        <v>800000</v>
      </c>
      <c r="G26" s="349">
        <f t="shared" si="2"/>
        <v>748341</v>
      </c>
      <c r="H26" s="256"/>
      <c r="I26" s="256"/>
      <c r="J26" s="348">
        <v>200000</v>
      </c>
      <c r="K26" s="349">
        <f t="shared" si="3"/>
        <v>179422</v>
      </c>
      <c r="L26" s="276"/>
      <c r="M26" s="276"/>
      <c r="N26" s="349">
        <v>61458</v>
      </c>
      <c r="O26" s="350">
        <v>129</v>
      </c>
      <c r="P26" s="276"/>
      <c r="Q26" s="351">
        <v>59629</v>
      </c>
      <c r="R26" s="350">
        <v>133</v>
      </c>
      <c r="S26" s="276"/>
      <c r="T26" s="351">
        <v>58335</v>
      </c>
      <c r="U26" s="350">
        <v>142</v>
      </c>
      <c r="V26" s="276"/>
      <c r="W26" s="348">
        <v>200000</v>
      </c>
      <c r="X26" s="348">
        <f t="shared" si="4"/>
        <v>190158</v>
      </c>
      <c r="Y26" s="348"/>
      <c r="Z26" s="348"/>
      <c r="AA26" s="348">
        <v>63520</v>
      </c>
      <c r="AB26" s="354">
        <v>144</v>
      </c>
      <c r="AC26" s="348"/>
      <c r="AD26" s="348">
        <v>62159</v>
      </c>
      <c r="AE26" s="354">
        <v>147</v>
      </c>
      <c r="AF26" s="348"/>
      <c r="AG26" s="348">
        <v>64479</v>
      </c>
      <c r="AH26" s="354">
        <v>147</v>
      </c>
      <c r="AI26" s="348"/>
      <c r="AJ26" s="348">
        <v>200000</v>
      </c>
      <c r="AK26" s="348">
        <f t="shared" si="5"/>
        <v>188272</v>
      </c>
      <c r="AL26" s="348"/>
      <c r="AM26" s="348"/>
      <c r="AN26" s="348">
        <v>64378</v>
      </c>
      <c r="AO26" s="354">
        <v>147</v>
      </c>
      <c r="AP26" s="348"/>
      <c r="AQ26" s="348">
        <v>60913</v>
      </c>
      <c r="AR26" s="350">
        <v>147</v>
      </c>
      <c r="AS26" s="348"/>
      <c r="AT26" s="348">
        <v>62981</v>
      </c>
      <c r="AU26" s="350">
        <v>147</v>
      </c>
      <c r="AV26" s="348"/>
      <c r="AW26" s="348">
        <v>148400</v>
      </c>
      <c r="AX26" s="348">
        <f t="shared" si="6"/>
        <v>190489</v>
      </c>
      <c r="AY26" s="276"/>
      <c r="AZ26" s="276"/>
      <c r="BA26" s="348">
        <v>63537</v>
      </c>
      <c r="BB26" s="350">
        <v>147</v>
      </c>
      <c r="BC26" s="276"/>
      <c r="BD26" s="348">
        <v>65138</v>
      </c>
      <c r="BE26" s="350">
        <v>141</v>
      </c>
      <c r="BF26" s="276"/>
      <c r="BG26" s="348">
        <v>61814</v>
      </c>
      <c r="BH26" s="350"/>
      <c r="BI26" s="276"/>
      <c r="BJ26" s="352"/>
      <c r="BK26" s="347"/>
    </row>
    <row r="27" spans="1:63" s="355" customFormat="1" ht="31.5" x14ac:dyDescent="0.25">
      <c r="A27" s="347"/>
      <c r="B27" s="276" t="s">
        <v>338</v>
      </c>
      <c r="C27" s="255" t="s">
        <v>339</v>
      </c>
      <c r="D27" s="348">
        <v>1400000</v>
      </c>
      <c r="E27" s="348">
        <f t="shared" si="7"/>
        <v>1417390</v>
      </c>
      <c r="F27" s="348">
        <v>1400000</v>
      </c>
      <c r="G27" s="349">
        <f t="shared" si="2"/>
        <v>1417385.58</v>
      </c>
      <c r="H27" s="256"/>
      <c r="I27" s="256"/>
      <c r="J27" s="348">
        <v>350000</v>
      </c>
      <c r="K27" s="349">
        <f t="shared" si="3"/>
        <v>341005</v>
      </c>
      <c r="L27" s="276"/>
      <c r="M27" s="276"/>
      <c r="N27" s="349">
        <v>117775</v>
      </c>
      <c r="O27" s="350">
        <v>243</v>
      </c>
      <c r="P27" s="276"/>
      <c r="Q27" s="351">
        <v>117226</v>
      </c>
      <c r="R27" s="350">
        <v>247</v>
      </c>
      <c r="S27" s="276"/>
      <c r="T27" s="351">
        <v>106004</v>
      </c>
      <c r="U27" s="350">
        <v>244</v>
      </c>
      <c r="V27" s="276"/>
      <c r="W27" s="348">
        <v>350000</v>
      </c>
      <c r="X27" s="348">
        <f t="shared" si="4"/>
        <v>353855</v>
      </c>
      <c r="Y27" s="276"/>
      <c r="Z27" s="276"/>
      <c r="AA27" s="348">
        <v>118865</v>
      </c>
      <c r="AB27" s="354">
        <v>244</v>
      </c>
      <c r="AC27" s="276"/>
      <c r="AD27" s="348">
        <v>114627</v>
      </c>
      <c r="AE27" s="354">
        <v>248</v>
      </c>
      <c r="AF27" s="276"/>
      <c r="AG27" s="348">
        <v>120363</v>
      </c>
      <c r="AH27" s="354">
        <v>254</v>
      </c>
      <c r="AI27" s="276"/>
      <c r="AJ27" s="348">
        <v>385100</v>
      </c>
      <c r="AK27" s="348">
        <f t="shared" si="5"/>
        <v>363149.58</v>
      </c>
      <c r="AL27" s="276"/>
      <c r="AM27" s="276"/>
      <c r="AN27" s="348">
        <v>118642</v>
      </c>
      <c r="AO27" s="354">
        <v>255</v>
      </c>
      <c r="AP27" s="276"/>
      <c r="AQ27" s="348">
        <v>122533.58</v>
      </c>
      <c r="AR27" s="350">
        <v>249</v>
      </c>
      <c r="AS27" s="276"/>
      <c r="AT27" s="348">
        <v>121974</v>
      </c>
      <c r="AU27" s="350">
        <v>250</v>
      </c>
      <c r="AV27" s="276"/>
      <c r="AW27" s="348">
        <v>332290</v>
      </c>
      <c r="AX27" s="348">
        <f t="shared" si="6"/>
        <v>359376</v>
      </c>
      <c r="AY27" s="276"/>
      <c r="AZ27" s="276"/>
      <c r="BA27" s="348">
        <v>117806</v>
      </c>
      <c r="BB27" s="350">
        <v>255</v>
      </c>
      <c r="BC27" s="276"/>
      <c r="BD27" s="348">
        <v>120121</v>
      </c>
      <c r="BE27" s="350">
        <v>266</v>
      </c>
      <c r="BF27" s="276"/>
      <c r="BG27" s="348">
        <v>121449</v>
      </c>
      <c r="BH27" s="350">
        <v>270</v>
      </c>
      <c r="BI27" s="276"/>
      <c r="BJ27" s="352"/>
      <c r="BK27" s="347"/>
    </row>
    <row r="28" spans="1:63" s="355" customFormat="1" ht="63" x14ac:dyDescent="0.25">
      <c r="A28" s="347"/>
      <c r="B28" s="276" t="s">
        <v>340</v>
      </c>
      <c r="C28" s="255" t="s">
        <v>341</v>
      </c>
      <c r="D28" s="348">
        <v>198000</v>
      </c>
      <c r="E28" s="348">
        <f t="shared" si="7"/>
        <v>145300</v>
      </c>
      <c r="F28" s="348">
        <v>198000</v>
      </c>
      <c r="G28" s="349">
        <f>N28+Q28+AA28+AD28+AG28+AN28+AQ28+AT28+BA28+BD28+BG28+T28</f>
        <v>145272.30000000002</v>
      </c>
      <c r="H28" s="256"/>
      <c r="I28" s="256"/>
      <c r="J28" s="348">
        <v>46300</v>
      </c>
      <c r="K28" s="349">
        <f t="shared" si="3"/>
        <v>33974.379999999997</v>
      </c>
      <c r="L28" s="276"/>
      <c r="M28" s="276"/>
      <c r="N28" s="349">
        <v>11208.88</v>
      </c>
      <c r="O28" s="350">
        <v>40</v>
      </c>
      <c r="P28" s="276"/>
      <c r="Q28" s="351">
        <v>11167.96</v>
      </c>
      <c r="R28" s="350">
        <v>41</v>
      </c>
      <c r="S28" s="276"/>
      <c r="T28" s="351">
        <v>11597.54</v>
      </c>
      <c r="U28" s="350">
        <v>39</v>
      </c>
      <c r="V28" s="276"/>
      <c r="W28" s="348">
        <v>49500</v>
      </c>
      <c r="X28" s="348">
        <f t="shared" si="4"/>
        <v>22588.34</v>
      </c>
      <c r="Y28" s="348"/>
      <c r="Z28" s="348"/>
      <c r="AA28" s="348">
        <v>11181.68</v>
      </c>
      <c r="AB28" s="354">
        <v>40</v>
      </c>
      <c r="AC28" s="348"/>
      <c r="AD28" s="348">
        <v>11406.66</v>
      </c>
      <c r="AE28" s="354">
        <v>40</v>
      </c>
      <c r="AF28" s="348"/>
      <c r="AG28" s="348"/>
      <c r="AH28" s="354">
        <v>40</v>
      </c>
      <c r="AI28" s="348"/>
      <c r="AJ28" s="348">
        <v>49500</v>
      </c>
      <c r="AK28" s="348">
        <f t="shared" si="5"/>
        <v>47357.88</v>
      </c>
      <c r="AL28" s="348"/>
      <c r="AM28" s="348"/>
      <c r="AN28" s="348">
        <v>22908.799999999999</v>
      </c>
      <c r="AO28" s="354">
        <v>47</v>
      </c>
      <c r="AP28" s="348"/>
      <c r="AQ28" s="348">
        <v>12865.58</v>
      </c>
      <c r="AR28" s="350">
        <v>46</v>
      </c>
      <c r="AS28" s="348"/>
      <c r="AT28" s="348">
        <v>11583.5</v>
      </c>
      <c r="AU28" s="350">
        <v>48</v>
      </c>
      <c r="AV28" s="348"/>
      <c r="AW28" s="348">
        <v>0</v>
      </c>
      <c r="AX28" s="348">
        <f t="shared" si="6"/>
        <v>41351.699999999997</v>
      </c>
      <c r="AY28" s="276"/>
      <c r="AZ28" s="276"/>
      <c r="BA28" s="348">
        <v>13608.88</v>
      </c>
      <c r="BB28" s="350">
        <v>48</v>
      </c>
      <c r="BC28" s="276"/>
      <c r="BD28" s="348">
        <v>13765.74</v>
      </c>
      <c r="BE28" s="350">
        <v>49</v>
      </c>
      <c r="BF28" s="276"/>
      <c r="BG28" s="348">
        <v>13977.08</v>
      </c>
      <c r="BH28" s="350"/>
      <c r="BI28" s="276"/>
      <c r="BJ28" s="352"/>
      <c r="BK28" s="347"/>
    </row>
    <row r="29" spans="1:63" s="355" customFormat="1" ht="110.25" x14ac:dyDescent="0.25">
      <c r="A29" s="347"/>
      <c r="B29" s="276" t="s">
        <v>342</v>
      </c>
      <c r="C29" s="255" t="s">
        <v>343</v>
      </c>
      <c r="D29" s="348">
        <v>264000</v>
      </c>
      <c r="E29" s="348">
        <f t="shared" si="7"/>
        <v>133400</v>
      </c>
      <c r="F29" s="348">
        <v>264000</v>
      </c>
      <c r="G29" s="349">
        <f t="shared" si="2"/>
        <v>130900</v>
      </c>
      <c r="H29" s="256"/>
      <c r="I29" s="256"/>
      <c r="J29" s="348">
        <v>28400</v>
      </c>
      <c r="K29" s="349">
        <f t="shared" si="3"/>
        <v>20650</v>
      </c>
      <c r="L29" s="276"/>
      <c r="M29" s="276"/>
      <c r="N29" s="349"/>
      <c r="O29" s="350">
        <v>7</v>
      </c>
      <c r="P29" s="276"/>
      <c r="Q29" s="351">
        <v>10850</v>
      </c>
      <c r="R29" s="350">
        <v>7</v>
      </c>
      <c r="S29" s="276"/>
      <c r="T29" s="351">
        <v>9800</v>
      </c>
      <c r="U29" s="350">
        <v>7</v>
      </c>
      <c r="V29" s="276"/>
      <c r="W29" s="348">
        <v>66000</v>
      </c>
      <c r="X29" s="348">
        <f t="shared" si="4"/>
        <v>32200</v>
      </c>
      <c r="Y29" s="348"/>
      <c r="Z29" s="348"/>
      <c r="AA29" s="348">
        <v>10850</v>
      </c>
      <c r="AB29" s="354">
        <v>7</v>
      </c>
      <c r="AC29" s="348"/>
      <c r="AD29" s="348">
        <v>10500</v>
      </c>
      <c r="AE29" s="354">
        <v>7</v>
      </c>
      <c r="AF29" s="348"/>
      <c r="AG29" s="348">
        <v>10850</v>
      </c>
      <c r="AH29" s="354">
        <v>7</v>
      </c>
      <c r="AI29" s="348"/>
      <c r="AJ29" s="348">
        <v>39000</v>
      </c>
      <c r="AK29" s="348">
        <f t="shared" si="5"/>
        <v>32200</v>
      </c>
      <c r="AL29" s="348"/>
      <c r="AM29" s="348"/>
      <c r="AN29" s="348">
        <v>10500</v>
      </c>
      <c r="AO29" s="354">
        <v>7</v>
      </c>
      <c r="AP29" s="348"/>
      <c r="AQ29" s="348">
        <v>10850</v>
      </c>
      <c r="AR29" s="350">
        <v>7</v>
      </c>
      <c r="AS29" s="348"/>
      <c r="AT29" s="348">
        <v>10850</v>
      </c>
      <c r="AU29" s="350">
        <v>7</v>
      </c>
      <c r="AV29" s="348"/>
      <c r="AW29" s="348">
        <v>0</v>
      </c>
      <c r="AX29" s="348">
        <f t="shared" si="6"/>
        <v>45850</v>
      </c>
      <c r="AY29" s="276"/>
      <c r="AZ29" s="276"/>
      <c r="BA29" s="348">
        <v>10500</v>
      </c>
      <c r="BB29" s="350">
        <v>14</v>
      </c>
      <c r="BC29" s="276"/>
      <c r="BD29" s="348">
        <v>10850</v>
      </c>
      <c r="BE29" s="350">
        <v>14</v>
      </c>
      <c r="BF29" s="276"/>
      <c r="BG29" s="348">
        <v>24500</v>
      </c>
      <c r="BH29" s="350">
        <v>14</v>
      </c>
      <c r="BI29" s="276"/>
      <c r="BJ29" s="352"/>
      <c r="BK29" s="347"/>
    </row>
    <row r="30" spans="1:63" s="347" customFormat="1" ht="98.25" customHeight="1" x14ac:dyDescent="0.25">
      <c r="B30" s="276" t="s">
        <v>344</v>
      </c>
      <c r="C30" s="255" t="s">
        <v>345</v>
      </c>
      <c r="D30" s="348">
        <v>30700000</v>
      </c>
      <c r="E30" s="348">
        <f t="shared" si="7"/>
        <v>29138700</v>
      </c>
      <c r="F30" s="348">
        <v>30700000</v>
      </c>
      <c r="G30" s="349">
        <f>N30+Q30+AA30+AD30+AG30+AN30+AQ30+AT30+BA30+BD30+BG30+T30</f>
        <v>29138698</v>
      </c>
      <c r="H30" s="256"/>
      <c r="I30" s="256"/>
      <c r="J30" s="348">
        <v>7229500</v>
      </c>
      <c r="K30" s="349">
        <f>N30+Q30+T30</f>
        <v>7229140</v>
      </c>
      <c r="L30" s="276"/>
      <c r="M30" s="276"/>
      <c r="N30" s="349">
        <v>2402136</v>
      </c>
      <c r="O30" s="350">
        <v>66438</v>
      </c>
      <c r="P30" s="276"/>
      <c r="Q30" s="351">
        <v>2410041</v>
      </c>
      <c r="R30" s="350">
        <v>66691</v>
      </c>
      <c r="S30" s="276"/>
      <c r="T30" s="351">
        <v>2416963</v>
      </c>
      <c r="U30" s="350">
        <v>66803</v>
      </c>
      <c r="V30" s="276"/>
      <c r="W30" s="348">
        <v>7675000</v>
      </c>
      <c r="X30" s="348">
        <f>AA30+AD30+AG30</f>
        <v>7279102</v>
      </c>
      <c r="Y30" s="276"/>
      <c r="Z30" s="276"/>
      <c r="AA30" s="348">
        <v>2423814</v>
      </c>
      <c r="AB30" s="350">
        <v>66981</v>
      </c>
      <c r="AC30" s="276"/>
      <c r="AD30" s="348">
        <v>2425952</v>
      </c>
      <c r="AE30" s="350">
        <v>67048</v>
      </c>
      <c r="AF30" s="276"/>
      <c r="AG30" s="348">
        <v>2429336</v>
      </c>
      <c r="AH30" s="350">
        <v>67153</v>
      </c>
      <c r="AI30" s="276"/>
      <c r="AJ30" s="348">
        <v>7675000</v>
      </c>
      <c r="AK30" s="348">
        <f>AN30+AQ30+AT30</f>
        <v>7306692</v>
      </c>
      <c r="AL30" s="276"/>
      <c r="AM30" s="276"/>
      <c r="AN30" s="348">
        <v>2427756</v>
      </c>
      <c r="AO30" s="350">
        <v>67172</v>
      </c>
      <c r="AP30" s="276"/>
      <c r="AQ30" s="348">
        <v>2438064</v>
      </c>
      <c r="AR30" s="350">
        <v>67343</v>
      </c>
      <c r="AS30" s="276"/>
      <c r="AT30" s="348">
        <v>2440872</v>
      </c>
      <c r="AU30" s="350">
        <v>67440</v>
      </c>
      <c r="AV30" s="276"/>
      <c r="AW30" s="348">
        <v>6559200</v>
      </c>
      <c r="AX30" s="348">
        <f t="shared" si="6"/>
        <v>7323764</v>
      </c>
      <c r="AY30" s="276"/>
      <c r="AZ30" s="276"/>
      <c r="BA30" s="348">
        <v>2439396</v>
      </c>
      <c r="BB30" s="350"/>
      <c r="BC30" s="276"/>
      <c r="BD30" s="348">
        <v>2445696</v>
      </c>
      <c r="BE30" s="350"/>
      <c r="BF30" s="276"/>
      <c r="BG30" s="348">
        <v>2438672</v>
      </c>
      <c r="BH30" s="350"/>
      <c r="BI30" s="276"/>
      <c r="BJ30" s="352"/>
    </row>
    <row r="31" spans="1:63" s="347" customFormat="1" ht="98.25" customHeight="1" x14ac:dyDescent="0.25">
      <c r="B31" s="276" t="s">
        <v>346</v>
      </c>
      <c r="C31" s="255" t="s">
        <v>347</v>
      </c>
      <c r="D31" s="348">
        <v>5000000</v>
      </c>
      <c r="E31" s="348">
        <f t="shared" si="7"/>
        <v>3648100</v>
      </c>
      <c r="F31" s="348">
        <v>5000000</v>
      </c>
      <c r="G31" s="349">
        <f t="shared" ref="G31:G33" si="8">N31+Q31+AA31+AD31+AG31+AN31+AQ31+AT31+BA31+BD31+BG31+T31</f>
        <v>3648037</v>
      </c>
      <c r="H31" s="256"/>
      <c r="I31" s="256"/>
      <c r="J31" s="348">
        <v>906500</v>
      </c>
      <c r="K31" s="349">
        <f t="shared" ref="K31:K33" si="9">N31+Q31+T31</f>
        <v>906447</v>
      </c>
      <c r="L31" s="276"/>
      <c r="M31" s="276"/>
      <c r="N31" s="349">
        <v>300911</v>
      </c>
      <c r="O31" s="350">
        <v>12994</v>
      </c>
      <c r="P31" s="276"/>
      <c r="Q31" s="351">
        <v>302095</v>
      </c>
      <c r="R31" s="350">
        <v>13040</v>
      </c>
      <c r="S31" s="276"/>
      <c r="T31" s="351">
        <v>303441</v>
      </c>
      <c r="U31" s="350">
        <v>13069</v>
      </c>
      <c r="V31" s="276"/>
      <c r="W31" s="348">
        <v>1250000</v>
      </c>
      <c r="X31" s="348">
        <f t="shared" ref="X31:X33" si="10">AA31+AD31+AG31</f>
        <v>913718</v>
      </c>
      <c r="Y31" s="276"/>
      <c r="Z31" s="276"/>
      <c r="AA31" s="348">
        <v>304454</v>
      </c>
      <c r="AB31" s="350">
        <v>13104</v>
      </c>
      <c r="AC31" s="276"/>
      <c r="AD31" s="348">
        <v>304340</v>
      </c>
      <c r="AE31" s="350">
        <v>13116</v>
      </c>
      <c r="AF31" s="276"/>
      <c r="AG31" s="348">
        <v>304924</v>
      </c>
      <c r="AH31" s="350">
        <v>13139</v>
      </c>
      <c r="AI31" s="276"/>
      <c r="AJ31" s="348">
        <v>1250000</v>
      </c>
      <c r="AK31" s="348">
        <f t="shared" ref="AK31:AK33" si="11">AN31+AQ31+AT31</f>
        <v>913871</v>
      </c>
      <c r="AL31" s="276"/>
      <c r="AM31" s="276"/>
      <c r="AN31" s="348">
        <v>304070</v>
      </c>
      <c r="AO31" s="350">
        <v>13101</v>
      </c>
      <c r="AP31" s="276"/>
      <c r="AQ31" s="348">
        <v>305508</v>
      </c>
      <c r="AR31" s="350">
        <v>13101</v>
      </c>
      <c r="AS31" s="276"/>
      <c r="AT31" s="348">
        <v>304293</v>
      </c>
      <c r="AU31" s="350">
        <v>13098</v>
      </c>
      <c r="AV31" s="276"/>
      <c r="AW31" s="348">
        <v>241600</v>
      </c>
      <c r="AX31" s="348">
        <f t="shared" si="6"/>
        <v>914001</v>
      </c>
      <c r="AY31" s="276"/>
      <c r="AZ31" s="276"/>
      <c r="BA31" s="348">
        <v>303902</v>
      </c>
      <c r="BB31" s="350"/>
      <c r="BC31" s="276"/>
      <c r="BD31" s="348">
        <v>305680</v>
      </c>
      <c r="BE31" s="350"/>
      <c r="BF31" s="276"/>
      <c r="BG31" s="348">
        <v>304419</v>
      </c>
      <c r="BH31" s="350"/>
      <c r="BI31" s="276"/>
      <c r="BJ31" s="352"/>
    </row>
    <row r="32" spans="1:63" s="347" customFormat="1" ht="98.25" customHeight="1" x14ac:dyDescent="0.25">
      <c r="B32" s="276" t="s">
        <v>348</v>
      </c>
      <c r="C32" s="255" t="s">
        <v>349</v>
      </c>
      <c r="D32" s="348">
        <v>7300000</v>
      </c>
      <c r="E32" s="348">
        <f t="shared" si="7"/>
        <v>4451500</v>
      </c>
      <c r="F32" s="348">
        <v>7300000</v>
      </c>
      <c r="G32" s="349">
        <f t="shared" si="8"/>
        <v>4451456</v>
      </c>
      <c r="H32" s="256"/>
      <c r="I32" s="256"/>
      <c r="J32" s="348">
        <v>1099000</v>
      </c>
      <c r="K32" s="349">
        <f t="shared" si="9"/>
        <v>1098166</v>
      </c>
      <c r="L32" s="276"/>
      <c r="M32" s="276"/>
      <c r="N32" s="349"/>
      <c r="O32" s="350">
        <v>1493</v>
      </c>
      <c r="P32" s="276"/>
      <c r="Q32" s="351">
        <v>293796</v>
      </c>
      <c r="R32" s="350">
        <v>1475</v>
      </c>
      <c r="S32" s="276"/>
      <c r="T32" s="351">
        <v>804370</v>
      </c>
      <c r="U32" s="350">
        <v>1492</v>
      </c>
      <c r="V32" s="276"/>
      <c r="W32" s="348">
        <v>1527500</v>
      </c>
      <c r="X32" s="348">
        <f t="shared" si="10"/>
        <v>1116519</v>
      </c>
      <c r="Y32" s="276"/>
      <c r="Z32" s="276"/>
      <c r="AA32" s="348">
        <v>376519</v>
      </c>
      <c r="AB32" s="350">
        <v>1503</v>
      </c>
      <c r="AC32" s="276"/>
      <c r="AD32" s="348">
        <v>368480</v>
      </c>
      <c r="AE32" s="350">
        <v>1498</v>
      </c>
      <c r="AF32" s="276"/>
      <c r="AG32" s="348">
        <v>371520</v>
      </c>
      <c r="AH32" s="350">
        <v>1505</v>
      </c>
      <c r="AI32" s="276"/>
      <c r="AJ32" s="348">
        <v>1825000</v>
      </c>
      <c r="AK32" s="348">
        <f t="shared" si="11"/>
        <v>1113700</v>
      </c>
      <c r="AL32" s="276"/>
      <c r="AM32" s="276"/>
      <c r="AN32" s="348">
        <v>371425</v>
      </c>
      <c r="AO32" s="350">
        <v>1509</v>
      </c>
      <c r="AP32" s="276"/>
      <c r="AQ32" s="348">
        <v>371070</v>
      </c>
      <c r="AR32" s="350">
        <v>1508</v>
      </c>
      <c r="AS32" s="276"/>
      <c r="AT32" s="348">
        <v>371205</v>
      </c>
      <c r="AU32" s="350">
        <v>1058</v>
      </c>
      <c r="AV32" s="276"/>
      <c r="AW32" s="348">
        <v>0</v>
      </c>
      <c r="AX32" s="348">
        <f t="shared" si="6"/>
        <v>1123071</v>
      </c>
      <c r="AY32" s="276"/>
      <c r="AZ32" s="276"/>
      <c r="BA32" s="348">
        <v>377640</v>
      </c>
      <c r="BB32" s="350"/>
      <c r="BC32" s="276"/>
      <c r="BD32" s="348">
        <v>370757</v>
      </c>
      <c r="BE32" s="350"/>
      <c r="BF32" s="276"/>
      <c r="BG32" s="348">
        <v>374674</v>
      </c>
      <c r="BH32" s="350"/>
      <c r="BI32" s="276"/>
      <c r="BJ32" s="352"/>
    </row>
    <row r="33" spans="2:62" s="347" customFormat="1" ht="98.25" customHeight="1" x14ac:dyDescent="0.25">
      <c r="B33" s="276" t="s">
        <v>350</v>
      </c>
      <c r="C33" s="255" t="s">
        <v>351</v>
      </c>
      <c r="D33" s="348">
        <v>12000000</v>
      </c>
      <c r="E33" s="348">
        <f t="shared" si="7"/>
        <v>9153000</v>
      </c>
      <c r="F33" s="348">
        <v>12000000</v>
      </c>
      <c r="G33" s="349">
        <f t="shared" si="8"/>
        <v>9152991</v>
      </c>
      <c r="H33" s="256"/>
      <c r="I33" s="256"/>
      <c r="J33" s="348">
        <v>3000000</v>
      </c>
      <c r="K33" s="349">
        <f t="shared" si="9"/>
        <v>1424911</v>
      </c>
      <c r="L33" s="276"/>
      <c r="M33" s="276"/>
      <c r="N33" s="349"/>
      <c r="O33" s="350">
        <v>70130</v>
      </c>
      <c r="P33" s="276"/>
      <c r="Q33" s="351">
        <v>683083</v>
      </c>
      <c r="R33" s="350">
        <v>69948</v>
      </c>
      <c r="S33" s="276"/>
      <c r="T33" s="351">
        <v>741828</v>
      </c>
      <c r="U33" s="350">
        <v>71039</v>
      </c>
      <c r="V33" s="276"/>
      <c r="W33" s="348">
        <v>3000000</v>
      </c>
      <c r="X33" s="348">
        <f t="shared" si="10"/>
        <v>2862316</v>
      </c>
      <c r="Y33" s="348"/>
      <c r="Z33" s="348"/>
      <c r="AA33" s="348">
        <v>663532</v>
      </c>
      <c r="AB33" s="348">
        <v>73738</v>
      </c>
      <c r="AC33" s="348"/>
      <c r="AD33" s="348">
        <v>1447665</v>
      </c>
      <c r="AE33" s="348">
        <v>75863</v>
      </c>
      <c r="AF33" s="348"/>
      <c r="AG33" s="348">
        <v>751119</v>
      </c>
      <c r="AH33" s="348">
        <v>76315</v>
      </c>
      <c r="AI33" s="348"/>
      <c r="AJ33" s="348">
        <v>3000000</v>
      </c>
      <c r="AK33" s="348">
        <f t="shared" si="11"/>
        <v>1598453</v>
      </c>
      <c r="AL33" s="348"/>
      <c r="AM33" s="348"/>
      <c r="AN33" s="348">
        <v>762764</v>
      </c>
      <c r="AO33" s="348">
        <v>76315</v>
      </c>
      <c r="AP33" s="348"/>
      <c r="AQ33" s="348">
        <v>0</v>
      </c>
      <c r="AR33" s="348">
        <v>77819</v>
      </c>
      <c r="AS33" s="348"/>
      <c r="AT33" s="348">
        <v>835689</v>
      </c>
      <c r="AU33" s="350"/>
      <c r="AV33" s="348"/>
      <c r="AW33" s="348">
        <v>153000</v>
      </c>
      <c r="AX33" s="348">
        <f t="shared" si="6"/>
        <v>3267311</v>
      </c>
      <c r="AY33" s="276"/>
      <c r="AZ33" s="276"/>
      <c r="BA33" s="348">
        <v>880215</v>
      </c>
      <c r="BB33" s="350"/>
      <c r="BC33" s="276"/>
      <c r="BD33" s="348">
        <v>1597946</v>
      </c>
      <c r="BE33" s="350"/>
      <c r="BF33" s="276"/>
      <c r="BG33" s="348">
        <v>789150</v>
      </c>
      <c r="BH33" s="350"/>
      <c r="BI33" s="276"/>
      <c r="BJ33" s="352"/>
    </row>
  </sheetData>
  <mergeCells count="31">
    <mergeCell ref="B2:I2"/>
    <mergeCell ref="BI2:BJ2"/>
    <mergeCell ref="B3:AQ3"/>
    <mergeCell ref="BF3:BJ3"/>
    <mergeCell ref="B5:B7"/>
    <mergeCell ref="C5:C7"/>
    <mergeCell ref="D5:D7"/>
    <mergeCell ref="E5:E7"/>
    <mergeCell ref="F5:F7"/>
    <mergeCell ref="G5:I5"/>
    <mergeCell ref="J5:BI5"/>
    <mergeCell ref="BJ5:BJ7"/>
    <mergeCell ref="G6:G7"/>
    <mergeCell ref="H6:H7"/>
    <mergeCell ref="I6:I7"/>
    <mergeCell ref="J6:M6"/>
    <mergeCell ref="N6:P6"/>
    <mergeCell ref="Q6:S6"/>
    <mergeCell ref="T6:V6"/>
    <mergeCell ref="W6:Z6"/>
    <mergeCell ref="AA6:AC6"/>
    <mergeCell ref="AD6:AF6"/>
    <mergeCell ref="AG6:AI6"/>
    <mergeCell ref="AJ6:AM6"/>
    <mergeCell ref="AN6:AP6"/>
    <mergeCell ref="AQ6:AS6"/>
    <mergeCell ref="AT6:AV6"/>
    <mergeCell ref="AW6:AZ6"/>
    <mergeCell ref="BA6:BC6"/>
    <mergeCell ref="BD6:BF6"/>
    <mergeCell ref="BG6:BI6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08"/>
  <sheetViews>
    <sheetView topLeftCell="A399" zoomScale="80" zoomScaleNormal="80" workbookViewId="0">
      <selection activeCell="U422" sqref="U422"/>
    </sheetView>
  </sheetViews>
  <sheetFormatPr defaultRowHeight="14.25" x14ac:dyDescent="0.2"/>
  <cols>
    <col min="1" max="1" width="10.42578125" style="486" customWidth="1"/>
    <col min="2" max="2" width="39.28515625" style="366" customWidth="1"/>
    <col min="3" max="4" width="20.140625" style="485" customWidth="1"/>
    <col min="5" max="5" width="20.140625" style="485" hidden="1" customWidth="1"/>
    <col min="6" max="8" width="17.28515625" style="366" hidden="1" customWidth="1"/>
    <col min="9" max="12" width="19.140625" style="366" hidden="1" customWidth="1"/>
    <col min="13" max="13" width="21.140625" style="366" hidden="1" customWidth="1"/>
    <col min="14" max="14" width="19.42578125" style="366" hidden="1" customWidth="1"/>
    <col min="15" max="17" width="18.85546875" style="366" hidden="1" customWidth="1"/>
    <col min="18" max="18" width="20.42578125" style="366" customWidth="1"/>
    <col min="19" max="19" width="18" style="366" customWidth="1"/>
    <col min="20" max="256" width="9.140625" style="366"/>
    <col min="257" max="257" width="10.42578125" style="366" customWidth="1"/>
    <col min="258" max="258" width="39.28515625" style="366" customWidth="1"/>
    <col min="259" max="260" width="20.140625" style="366" customWidth="1"/>
    <col min="261" max="273" width="0" style="366" hidden="1" customWidth="1"/>
    <col min="274" max="274" width="20.42578125" style="366" customWidth="1"/>
    <col min="275" max="275" width="18" style="366" customWidth="1"/>
    <col min="276" max="512" width="9.140625" style="366"/>
    <col min="513" max="513" width="10.42578125" style="366" customWidth="1"/>
    <col min="514" max="514" width="39.28515625" style="366" customWidth="1"/>
    <col min="515" max="516" width="20.140625" style="366" customWidth="1"/>
    <col min="517" max="529" width="0" style="366" hidden="1" customWidth="1"/>
    <col min="530" max="530" width="20.42578125" style="366" customWidth="1"/>
    <col min="531" max="531" width="18" style="366" customWidth="1"/>
    <col min="532" max="768" width="9.140625" style="366"/>
    <col min="769" max="769" width="10.42578125" style="366" customWidth="1"/>
    <col min="770" max="770" width="39.28515625" style="366" customWidth="1"/>
    <col min="771" max="772" width="20.140625" style="366" customWidth="1"/>
    <col min="773" max="785" width="0" style="366" hidden="1" customWidth="1"/>
    <col min="786" max="786" width="20.42578125" style="366" customWidth="1"/>
    <col min="787" max="787" width="18" style="366" customWidth="1"/>
    <col min="788" max="1024" width="9.140625" style="366"/>
    <col min="1025" max="1025" width="10.42578125" style="366" customWidth="1"/>
    <col min="1026" max="1026" width="39.28515625" style="366" customWidth="1"/>
    <col min="1027" max="1028" width="20.140625" style="366" customWidth="1"/>
    <col min="1029" max="1041" width="0" style="366" hidden="1" customWidth="1"/>
    <col min="1042" max="1042" width="20.42578125" style="366" customWidth="1"/>
    <col min="1043" max="1043" width="18" style="366" customWidth="1"/>
    <col min="1044" max="1280" width="9.140625" style="366"/>
    <col min="1281" max="1281" width="10.42578125" style="366" customWidth="1"/>
    <col min="1282" max="1282" width="39.28515625" style="366" customWidth="1"/>
    <col min="1283" max="1284" width="20.140625" style="366" customWidth="1"/>
    <col min="1285" max="1297" width="0" style="366" hidden="1" customWidth="1"/>
    <col min="1298" max="1298" width="20.42578125" style="366" customWidth="1"/>
    <col min="1299" max="1299" width="18" style="366" customWidth="1"/>
    <col min="1300" max="1536" width="9.140625" style="366"/>
    <col min="1537" max="1537" width="10.42578125" style="366" customWidth="1"/>
    <col min="1538" max="1538" width="39.28515625" style="366" customWidth="1"/>
    <col min="1539" max="1540" width="20.140625" style="366" customWidth="1"/>
    <col min="1541" max="1553" width="0" style="366" hidden="1" customWidth="1"/>
    <col min="1554" max="1554" width="20.42578125" style="366" customWidth="1"/>
    <col min="1555" max="1555" width="18" style="366" customWidth="1"/>
    <col min="1556" max="1792" width="9.140625" style="366"/>
    <col min="1793" max="1793" width="10.42578125" style="366" customWidth="1"/>
    <col min="1794" max="1794" width="39.28515625" style="366" customWidth="1"/>
    <col min="1795" max="1796" width="20.140625" style="366" customWidth="1"/>
    <col min="1797" max="1809" width="0" style="366" hidden="1" customWidth="1"/>
    <col min="1810" max="1810" width="20.42578125" style="366" customWidth="1"/>
    <col min="1811" max="1811" width="18" style="366" customWidth="1"/>
    <col min="1812" max="2048" width="9.140625" style="366"/>
    <col min="2049" max="2049" width="10.42578125" style="366" customWidth="1"/>
    <col min="2050" max="2050" width="39.28515625" style="366" customWidth="1"/>
    <col min="2051" max="2052" width="20.140625" style="366" customWidth="1"/>
    <col min="2053" max="2065" width="0" style="366" hidden="1" customWidth="1"/>
    <col min="2066" max="2066" width="20.42578125" style="366" customWidth="1"/>
    <col min="2067" max="2067" width="18" style="366" customWidth="1"/>
    <col min="2068" max="2304" width="9.140625" style="366"/>
    <col min="2305" max="2305" width="10.42578125" style="366" customWidth="1"/>
    <col min="2306" max="2306" width="39.28515625" style="366" customWidth="1"/>
    <col min="2307" max="2308" width="20.140625" style="366" customWidth="1"/>
    <col min="2309" max="2321" width="0" style="366" hidden="1" customWidth="1"/>
    <col min="2322" max="2322" width="20.42578125" style="366" customWidth="1"/>
    <col min="2323" max="2323" width="18" style="366" customWidth="1"/>
    <col min="2324" max="2560" width="9.140625" style="366"/>
    <col min="2561" max="2561" width="10.42578125" style="366" customWidth="1"/>
    <col min="2562" max="2562" width="39.28515625" style="366" customWidth="1"/>
    <col min="2563" max="2564" width="20.140625" style="366" customWidth="1"/>
    <col min="2565" max="2577" width="0" style="366" hidden="1" customWidth="1"/>
    <col min="2578" max="2578" width="20.42578125" style="366" customWidth="1"/>
    <col min="2579" max="2579" width="18" style="366" customWidth="1"/>
    <col min="2580" max="2816" width="9.140625" style="366"/>
    <col min="2817" max="2817" width="10.42578125" style="366" customWidth="1"/>
    <col min="2818" max="2818" width="39.28515625" style="366" customWidth="1"/>
    <col min="2819" max="2820" width="20.140625" style="366" customWidth="1"/>
    <col min="2821" max="2833" width="0" style="366" hidden="1" customWidth="1"/>
    <col min="2834" max="2834" width="20.42578125" style="366" customWidth="1"/>
    <col min="2835" max="2835" width="18" style="366" customWidth="1"/>
    <col min="2836" max="3072" width="9.140625" style="366"/>
    <col min="3073" max="3073" width="10.42578125" style="366" customWidth="1"/>
    <col min="3074" max="3074" width="39.28515625" style="366" customWidth="1"/>
    <col min="3075" max="3076" width="20.140625" style="366" customWidth="1"/>
    <col min="3077" max="3089" width="0" style="366" hidden="1" customWidth="1"/>
    <col min="3090" max="3090" width="20.42578125" style="366" customWidth="1"/>
    <col min="3091" max="3091" width="18" style="366" customWidth="1"/>
    <col min="3092" max="3328" width="9.140625" style="366"/>
    <col min="3329" max="3329" width="10.42578125" style="366" customWidth="1"/>
    <col min="3330" max="3330" width="39.28515625" style="366" customWidth="1"/>
    <col min="3331" max="3332" width="20.140625" style="366" customWidth="1"/>
    <col min="3333" max="3345" width="0" style="366" hidden="1" customWidth="1"/>
    <col min="3346" max="3346" width="20.42578125" style="366" customWidth="1"/>
    <col min="3347" max="3347" width="18" style="366" customWidth="1"/>
    <col min="3348" max="3584" width="9.140625" style="366"/>
    <col min="3585" max="3585" width="10.42578125" style="366" customWidth="1"/>
    <col min="3586" max="3586" width="39.28515625" style="366" customWidth="1"/>
    <col min="3587" max="3588" width="20.140625" style="366" customWidth="1"/>
    <col min="3589" max="3601" width="0" style="366" hidden="1" customWidth="1"/>
    <col min="3602" max="3602" width="20.42578125" style="366" customWidth="1"/>
    <col min="3603" max="3603" width="18" style="366" customWidth="1"/>
    <col min="3604" max="3840" width="9.140625" style="366"/>
    <col min="3841" max="3841" width="10.42578125" style="366" customWidth="1"/>
    <col min="3842" max="3842" width="39.28515625" style="366" customWidth="1"/>
    <col min="3843" max="3844" width="20.140625" style="366" customWidth="1"/>
    <col min="3845" max="3857" width="0" style="366" hidden="1" customWidth="1"/>
    <col min="3858" max="3858" width="20.42578125" style="366" customWidth="1"/>
    <col min="3859" max="3859" width="18" style="366" customWidth="1"/>
    <col min="3860" max="4096" width="9.140625" style="366"/>
    <col min="4097" max="4097" width="10.42578125" style="366" customWidth="1"/>
    <col min="4098" max="4098" width="39.28515625" style="366" customWidth="1"/>
    <col min="4099" max="4100" width="20.140625" style="366" customWidth="1"/>
    <col min="4101" max="4113" width="0" style="366" hidden="1" customWidth="1"/>
    <col min="4114" max="4114" width="20.42578125" style="366" customWidth="1"/>
    <col min="4115" max="4115" width="18" style="366" customWidth="1"/>
    <col min="4116" max="4352" width="9.140625" style="366"/>
    <col min="4353" max="4353" width="10.42578125" style="366" customWidth="1"/>
    <col min="4354" max="4354" width="39.28515625" style="366" customWidth="1"/>
    <col min="4355" max="4356" width="20.140625" style="366" customWidth="1"/>
    <col min="4357" max="4369" width="0" style="366" hidden="1" customWidth="1"/>
    <col min="4370" max="4370" width="20.42578125" style="366" customWidth="1"/>
    <col min="4371" max="4371" width="18" style="366" customWidth="1"/>
    <col min="4372" max="4608" width="9.140625" style="366"/>
    <col min="4609" max="4609" width="10.42578125" style="366" customWidth="1"/>
    <col min="4610" max="4610" width="39.28515625" style="366" customWidth="1"/>
    <col min="4611" max="4612" width="20.140625" style="366" customWidth="1"/>
    <col min="4613" max="4625" width="0" style="366" hidden="1" customWidth="1"/>
    <col min="4626" max="4626" width="20.42578125" style="366" customWidth="1"/>
    <col min="4627" max="4627" width="18" style="366" customWidth="1"/>
    <col min="4628" max="4864" width="9.140625" style="366"/>
    <col min="4865" max="4865" width="10.42578125" style="366" customWidth="1"/>
    <col min="4866" max="4866" width="39.28515625" style="366" customWidth="1"/>
    <col min="4867" max="4868" width="20.140625" style="366" customWidth="1"/>
    <col min="4869" max="4881" width="0" style="366" hidden="1" customWidth="1"/>
    <col min="4882" max="4882" width="20.42578125" style="366" customWidth="1"/>
    <col min="4883" max="4883" width="18" style="366" customWidth="1"/>
    <col min="4884" max="5120" width="9.140625" style="366"/>
    <col min="5121" max="5121" width="10.42578125" style="366" customWidth="1"/>
    <col min="5122" max="5122" width="39.28515625" style="366" customWidth="1"/>
    <col min="5123" max="5124" width="20.140625" style="366" customWidth="1"/>
    <col min="5125" max="5137" width="0" style="366" hidden="1" customWidth="1"/>
    <col min="5138" max="5138" width="20.42578125" style="366" customWidth="1"/>
    <col min="5139" max="5139" width="18" style="366" customWidth="1"/>
    <col min="5140" max="5376" width="9.140625" style="366"/>
    <col min="5377" max="5377" width="10.42578125" style="366" customWidth="1"/>
    <col min="5378" max="5378" width="39.28515625" style="366" customWidth="1"/>
    <col min="5379" max="5380" width="20.140625" style="366" customWidth="1"/>
    <col min="5381" max="5393" width="0" style="366" hidden="1" customWidth="1"/>
    <col min="5394" max="5394" width="20.42578125" style="366" customWidth="1"/>
    <col min="5395" max="5395" width="18" style="366" customWidth="1"/>
    <col min="5396" max="5632" width="9.140625" style="366"/>
    <col min="5633" max="5633" width="10.42578125" style="366" customWidth="1"/>
    <col min="5634" max="5634" width="39.28515625" style="366" customWidth="1"/>
    <col min="5635" max="5636" width="20.140625" style="366" customWidth="1"/>
    <col min="5637" max="5649" width="0" style="366" hidden="1" customWidth="1"/>
    <col min="5650" max="5650" width="20.42578125" style="366" customWidth="1"/>
    <col min="5651" max="5651" width="18" style="366" customWidth="1"/>
    <col min="5652" max="5888" width="9.140625" style="366"/>
    <col min="5889" max="5889" width="10.42578125" style="366" customWidth="1"/>
    <col min="5890" max="5890" width="39.28515625" style="366" customWidth="1"/>
    <col min="5891" max="5892" width="20.140625" style="366" customWidth="1"/>
    <col min="5893" max="5905" width="0" style="366" hidden="1" customWidth="1"/>
    <col min="5906" max="5906" width="20.42578125" style="366" customWidth="1"/>
    <col min="5907" max="5907" width="18" style="366" customWidth="1"/>
    <col min="5908" max="6144" width="9.140625" style="366"/>
    <col min="6145" max="6145" width="10.42578125" style="366" customWidth="1"/>
    <col min="6146" max="6146" width="39.28515625" style="366" customWidth="1"/>
    <col min="6147" max="6148" width="20.140625" style="366" customWidth="1"/>
    <col min="6149" max="6161" width="0" style="366" hidden="1" customWidth="1"/>
    <col min="6162" max="6162" width="20.42578125" style="366" customWidth="1"/>
    <col min="6163" max="6163" width="18" style="366" customWidth="1"/>
    <col min="6164" max="6400" width="9.140625" style="366"/>
    <col min="6401" max="6401" width="10.42578125" style="366" customWidth="1"/>
    <col min="6402" max="6402" width="39.28515625" style="366" customWidth="1"/>
    <col min="6403" max="6404" width="20.140625" style="366" customWidth="1"/>
    <col min="6405" max="6417" width="0" style="366" hidden="1" customWidth="1"/>
    <col min="6418" max="6418" width="20.42578125" style="366" customWidth="1"/>
    <col min="6419" max="6419" width="18" style="366" customWidth="1"/>
    <col min="6420" max="6656" width="9.140625" style="366"/>
    <col min="6657" max="6657" width="10.42578125" style="366" customWidth="1"/>
    <col min="6658" max="6658" width="39.28515625" style="366" customWidth="1"/>
    <col min="6659" max="6660" width="20.140625" style="366" customWidth="1"/>
    <col min="6661" max="6673" width="0" style="366" hidden="1" customWidth="1"/>
    <col min="6674" max="6674" width="20.42578125" style="366" customWidth="1"/>
    <col min="6675" max="6675" width="18" style="366" customWidth="1"/>
    <col min="6676" max="6912" width="9.140625" style="366"/>
    <col min="6913" max="6913" width="10.42578125" style="366" customWidth="1"/>
    <col min="6914" max="6914" width="39.28515625" style="366" customWidth="1"/>
    <col min="6915" max="6916" width="20.140625" style="366" customWidth="1"/>
    <col min="6917" max="6929" width="0" style="366" hidden="1" customWidth="1"/>
    <col min="6930" max="6930" width="20.42578125" style="366" customWidth="1"/>
    <col min="6931" max="6931" width="18" style="366" customWidth="1"/>
    <col min="6932" max="7168" width="9.140625" style="366"/>
    <col min="7169" max="7169" width="10.42578125" style="366" customWidth="1"/>
    <col min="7170" max="7170" width="39.28515625" style="366" customWidth="1"/>
    <col min="7171" max="7172" width="20.140625" style="366" customWidth="1"/>
    <col min="7173" max="7185" width="0" style="366" hidden="1" customWidth="1"/>
    <col min="7186" max="7186" width="20.42578125" style="366" customWidth="1"/>
    <col min="7187" max="7187" width="18" style="366" customWidth="1"/>
    <col min="7188" max="7424" width="9.140625" style="366"/>
    <col min="7425" max="7425" width="10.42578125" style="366" customWidth="1"/>
    <col min="7426" max="7426" width="39.28515625" style="366" customWidth="1"/>
    <col min="7427" max="7428" width="20.140625" style="366" customWidth="1"/>
    <col min="7429" max="7441" width="0" style="366" hidden="1" customWidth="1"/>
    <col min="7442" max="7442" width="20.42578125" style="366" customWidth="1"/>
    <col min="7443" max="7443" width="18" style="366" customWidth="1"/>
    <col min="7444" max="7680" width="9.140625" style="366"/>
    <col min="7681" max="7681" width="10.42578125" style="366" customWidth="1"/>
    <col min="7682" max="7682" width="39.28515625" style="366" customWidth="1"/>
    <col min="7683" max="7684" width="20.140625" style="366" customWidth="1"/>
    <col min="7685" max="7697" width="0" style="366" hidden="1" customWidth="1"/>
    <col min="7698" max="7698" width="20.42578125" style="366" customWidth="1"/>
    <col min="7699" max="7699" width="18" style="366" customWidth="1"/>
    <col min="7700" max="7936" width="9.140625" style="366"/>
    <col min="7937" max="7937" width="10.42578125" style="366" customWidth="1"/>
    <col min="7938" max="7938" width="39.28515625" style="366" customWidth="1"/>
    <col min="7939" max="7940" width="20.140625" style="366" customWidth="1"/>
    <col min="7941" max="7953" width="0" style="366" hidden="1" customWidth="1"/>
    <col min="7954" max="7954" width="20.42578125" style="366" customWidth="1"/>
    <col min="7955" max="7955" width="18" style="366" customWidth="1"/>
    <col min="7956" max="8192" width="9.140625" style="366"/>
    <col min="8193" max="8193" width="10.42578125" style="366" customWidth="1"/>
    <col min="8194" max="8194" width="39.28515625" style="366" customWidth="1"/>
    <col min="8195" max="8196" width="20.140625" style="366" customWidth="1"/>
    <col min="8197" max="8209" width="0" style="366" hidden="1" customWidth="1"/>
    <col min="8210" max="8210" width="20.42578125" style="366" customWidth="1"/>
    <col min="8211" max="8211" width="18" style="366" customWidth="1"/>
    <col min="8212" max="8448" width="9.140625" style="366"/>
    <col min="8449" max="8449" width="10.42578125" style="366" customWidth="1"/>
    <col min="8450" max="8450" width="39.28515625" style="366" customWidth="1"/>
    <col min="8451" max="8452" width="20.140625" style="366" customWidth="1"/>
    <col min="8453" max="8465" width="0" style="366" hidden="1" customWidth="1"/>
    <col min="8466" max="8466" width="20.42578125" style="366" customWidth="1"/>
    <col min="8467" max="8467" width="18" style="366" customWidth="1"/>
    <col min="8468" max="8704" width="9.140625" style="366"/>
    <col min="8705" max="8705" width="10.42578125" style="366" customWidth="1"/>
    <col min="8706" max="8706" width="39.28515625" style="366" customWidth="1"/>
    <col min="8707" max="8708" width="20.140625" style="366" customWidth="1"/>
    <col min="8709" max="8721" width="0" style="366" hidden="1" customWidth="1"/>
    <col min="8722" max="8722" width="20.42578125" style="366" customWidth="1"/>
    <col min="8723" max="8723" width="18" style="366" customWidth="1"/>
    <col min="8724" max="8960" width="9.140625" style="366"/>
    <col min="8961" max="8961" width="10.42578125" style="366" customWidth="1"/>
    <col min="8962" max="8962" width="39.28515625" style="366" customWidth="1"/>
    <col min="8963" max="8964" width="20.140625" style="366" customWidth="1"/>
    <col min="8965" max="8977" width="0" style="366" hidden="1" customWidth="1"/>
    <col min="8978" max="8978" width="20.42578125" style="366" customWidth="1"/>
    <col min="8979" max="8979" width="18" style="366" customWidth="1"/>
    <col min="8980" max="9216" width="9.140625" style="366"/>
    <col min="9217" max="9217" width="10.42578125" style="366" customWidth="1"/>
    <col min="9218" max="9218" width="39.28515625" style="366" customWidth="1"/>
    <col min="9219" max="9220" width="20.140625" style="366" customWidth="1"/>
    <col min="9221" max="9233" width="0" style="366" hidden="1" customWidth="1"/>
    <col min="9234" max="9234" width="20.42578125" style="366" customWidth="1"/>
    <col min="9235" max="9235" width="18" style="366" customWidth="1"/>
    <col min="9236" max="9472" width="9.140625" style="366"/>
    <col min="9473" max="9473" width="10.42578125" style="366" customWidth="1"/>
    <col min="9474" max="9474" width="39.28515625" style="366" customWidth="1"/>
    <col min="9475" max="9476" width="20.140625" style="366" customWidth="1"/>
    <col min="9477" max="9489" width="0" style="366" hidden="1" customWidth="1"/>
    <col min="9490" max="9490" width="20.42578125" style="366" customWidth="1"/>
    <col min="9491" max="9491" width="18" style="366" customWidth="1"/>
    <col min="9492" max="9728" width="9.140625" style="366"/>
    <col min="9729" max="9729" width="10.42578125" style="366" customWidth="1"/>
    <col min="9730" max="9730" width="39.28515625" style="366" customWidth="1"/>
    <col min="9731" max="9732" width="20.140625" style="366" customWidth="1"/>
    <col min="9733" max="9745" width="0" style="366" hidden="1" customWidth="1"/>
    <col min="9746" max="9746" width="20.42578125" style="366" customWidth="1"/>
    <col min="9747" max="9747" width="18" style="366" customWidth="1"/>
    <col min="9748" max="9984" width="9.140625" style="366"/>
    <col min="9985" max="9985" width="10.42578125" style="366" customWidth="1"/>
    <col min="9986" max="9986" width="39.28515625" style="366" customWidth="1"/>
    <col min="9987" max="9988" width="20.140625" style="366" customWidth="1"/>
    <col min="9989" max="10001" width="0" style="366" hidden="1" customWidth="1"/>
    <col min="10002" max="10002" width="20.42578125" style="366" customWidth="1"/>
    <col min="10003" max="10003" width="18" style="366" customWidth="1"/>
    <col min="10004" max="10240" width="9.140625" style="366"/>
    <col min="10241" max="10241" width="10.42578125" style="366" customWidth="1"/>
    <col min="10242" max="10242" width="39.28515625" style="366" customWidth="1"/>
    <col min="10243" max="10244" width="20.140625" style="366" customWidth="1"/>
    <col min="10245" max="10257" width="0" style="366" hidden="1" customWidth="1"/>
    <col min="10258" max="10258" width="20.42578125" style="366" customWidth="1"/>
    <col min="10259" max="10259" width="18" style="366" customWidth="1"/>
    <col min="10260" max="10496" width="9.140625" style="366"/>
    <col min="10497" max="10497" width="10.42578125" style="366" customWidth="1"/>
    <col min="10498" max="10498" width="39.28515625" style="366" customWidth="1"/>
    <col min="10499" max="10500" width="20.140625" style="366" customWidth="1"/>
    <col min="10501" max="10513" width="0" style="366" hidden="1" customWidth="1"/>
    <col min="10514" max="10514" width="20.42578125" style="366" customWidth="1"/>
    <col min="10515" max="10515" width="18" style="366" customWidth="1"/>
    <col min="10516" max="10752" width="9.140625" style="366"/>
    <col min="10753" max="10753" width="10.42578125" style="366" customWidth="1"/>
    <col min="10754" max="10754" width="39.28515625" style="366" customWidth="1"/>
    <col min="10755" max="10756" width="20.140625" style="366" customWidth="1"/>
    <col min="10757" max="10769" width="0" style="366" hidden="1" customWidth="1"/>
    <col min="10770" max="10770" width="20.42578125" style="366" customWidth="1"/>
    <col min="10771" max="10771" width="18" style="366" customWidth="1"/>
    <col min="10772" max="11008" width="9.140625" style="366"/>
    <col min="11009" max="11009" width="10.42578125" style="366" customWidth="1"/>
    <col min="11010" max="11010" width="39.28515625" style="366" customWidth="1"/>
    <col min="11011" max="11012" width="20.140625" style="366" customWidth="1"/>
    <col min="11013" max="11025" width="0" style="366" hidden="1" customWidth="1"/>
    <col min="11026" max="11026" width="20.42578125" style="366" customWidth="1"/>
    <col min="11027" max="11027" width="18" style="366" customWidth="1"/>
    <col min="11028" max="11264" width="9.140625" style="366"/>
    <col min="11265" max="11265" width="10.42578125" style="366" customWidth="1"/>
    <col min="11266" max="11266" width="39.28515625" style="366" customWidth="1"/>
    <col min="11267" max="11268" width="20.140625" style="366" customWidth="1"/>
    <col min="11269" max="11281" width="0" style="366" hidden="1" customWidth="1"/>
    <col min="11282" max="11282" width="20.42578125" style="366" customWidth="1"/>
    <col min="11283" max="11283" width="18" style="366" customWidth="1"/>
    <col min="11284" max="11520" width="9.140625" style="366"/>
    <col min="11521" max="11521" width="10.42578125" style="366" customWidth="1"/>
    <col min="11522" max="11522" width="39.28515625" style="366" customWidth="1"/>
    <col min="11523" max="11524" width="20.140625" style="366" customWidth="1"/>
    <col min="11525" max="11537" width="0" style="366" hidden="1" customWidth="1"/>
    <col min="11538" max="11538" width="20.42578125" style="366" customWidth="1"/>
    <col min="11539" max="11539" width="18" style="366" customWidth="1"/>
    <col min="11540" max="11776" width="9.140625" style="366"/>
    <col min="11777" max="11777" width="10.42578125" style="366" customWidth="1"/>
    <col min="11778" max="11778" width="39.28515625" style="366" customWidth="1"/>
    <col min="11779" max="11780" width="20.140625" style="366" customWidth="1"/>
    <col min="11781" max="11793" width="0" style="366" hidden="1" customWidth="1"/>
    <col min="11794" max="11794" width="20.42578125" style="366" customWidth="1"/>
    <col min="11795" max="11795" width="18" style="366" customWidth="1"/>
    <col min="11796" max="12032" width="9.140625" style="366"/>
    <col min="12033" max="12033" width="10.42578125" style="366" customWidth="1"/>
    <col min="12034" max="12034" width="39.28515625" style="366" customWidth="1"/>
    <col min="12035" max="12036" width="20.140625" style="366" customWidth="1"/>
    <col min="12037" max="12049" width="0" style="366" hidden="1" customWidth="1"/>
    <col min="12050" max="12050" width="20.42578125" style="366" customWidth="1"/>
    <col min="12051" max="12051" width="18" style="366" customWidth="1"/>
    <col min="12052" max="12288" width="9.140625" style="366"/>
    <col min="12289" max="12289" width="10.42578125" style="366" customWidth="1"/>
    <col min="12290" max="12290" width="39.28515625" style="366" customWidth="1"/>
    <col min="12291" max="12292" width="20.140625" style="366" customWidth="1"/>
    <col min="12293" max="12305" width="0" style="366" hidden="1" customWidth="1"/>
    <col min="12306" max="12306" width="20.42578125" style="366" customWidth="1"/>
    <col min="12307" max="12307" width="18" style="366" customWidth="1"/>
    <col min="12308" max="12544" width="9.140625" style="366"/>
    <col min="12545" max="12545" width="10.42578125" style="366" customWidth="1"/>
    <col min="12546" max="12546" width="39.28515625" style="366" customWidth="1"/>
    <col min="12547" max="12548" width="20.140625" style="366" customWidth="1"/>
    <col min="12549" max="12561" width="0" style="366" hidden="1" customWidth="1"/>
    <col min="12562" max="12562" width="20.42578125" style="366" customWidth="1"/>
    <col min="12563" max="12563" width="18" style="366" customWidth="1"/>
    <col min="12564" max="12800" width="9.140625" style="366"/>
    <col min="12801" max="12801" width="10.42578125" style="366" customWidth="1"/>
    <col min="12802" max="12802" width="39.28515625" style="366" customWidth="1"/>
    <col min="12803" max="12804" width="20.140625" style="366" customWidth="1"/>
    <col min="12805" max="12817" width="0" style="366" hidden="1" customWidth="1"/>
    <col min="12818" max="12818" width="20.42578125" style="366" customWidth="1"/>
    <col min="12819" max="12819" width="18" style="366" customWidth="1"/>
    <col min="12820" max="13056" width="9.140625" style="366"/>
    <col min="13057" max="13057" width="10.42578125" style="366" customWidth="1"/>
    <col min="13058" max="13058" width="39.28515625" style="366" customWidth="1"/>
    <col min="13059" max="13060" width="20.140625" style="366" customWidth="1"/>
    <col min="13061" max="13073" width="0" style="366" hidden="1" customWidth="1"/>
    <col min="13074" max="13074" width="20.42578125" style="366" customWidth="1"/>
    <col min="13075" max="13075" width="18" style="366" customWidth="1"/>
    <col min="13076" max="13312" width="9.140625" style="366"/>
    <col min="13313" max="13313" width="10.42578125" style="366" customWidth="1"/>
    <col min="13314" max="13314" width="39.28515625" style="366" customWidth="1"/>
    <col min="13315" max="13316" width="20.140625" style="366" customWidth="1"/>
    <col min="13317" max="13329" width="0" style="366" hidden="1" customWidth="1"/>
    <col min="13330" max="13330" width="20.42578125" style="366" customWidth="1"/>
    <col min="13331" max="13331" width="18" style="366" customWidth="1"/>
    <col min="13332" max="13568" width="9.140625" style="366"/>
    <col min="13569" max="13569" width="10.42578125" style="366" customWidth="1"/>
    <col min="13570" max="13570" width="39.28515625" style="366" customWidth="1"/>
    <col min="13571" max="13572" width="20.140625" style="366" customWidth="1"/>
    <col min="13573" max="13585" width="0" style="366" hidden="1" customWidth="1"/>
    <col min="13586" max="13586" width="20.42578125" style="366" customWidth="1"/>
    <col min="13587" max="13587" width="18" style="366" customWidth="1"/>
    <col min="13588" max="13824" width="9.140625" style="366"/>
    <col min="13825" max="13825" width="10.42578125" style="366" customWidth="1"/>
    <col min="13826" max="13826" width="39.28515625" style="366" customWidth="1"/>
    <col min="13827" max="13828" width="20.140625" style="366" customWidth="1"/>
    <col min="13829" max="13841" width="0" style="366" hidden="1" customWidth="1"/>
    <col min="13842" max="13842" width="20.42578125" style="366" customWidth="1"/>
    <col min="13843" max="13843" width="18" style="366" customWidth="1"/>
    <col min="13844" max="14080" width="9.140625" style="366"/>
    <col min="14081" max="14081" width="10.42578125" style="366" customWidth="1"/>
    <col min="14082" max="14082" width="39.28515625" style="366" customWidth="1"/>
    <col min="14083" max="14084" width="20.140625" style="366" customWidth="1"/>
    <col min="14085" max="14097" width="0" style="366" hidden="1" customWidth="1"/>
    <col min="14098" max="14098" width="20.42578125" style="366" customWidth="1"/>
    <col min="14099" max="14099" width="18" style="366" customWidth="1"/>
    <col min="14100" max="14336" width="9.140625" style="366"/>
    <col min="14337" max="14337" width="10.42578125" style="366" customWidth="1"/>
    <col min="14338" max="14338" width="39.28515625" style="366" customWidth="1"/>
    <col min="14339" max="14340" width="20.140625" style="366" customWidth="1"/>
    <col min="14341" max="14353" width="0" style="366" hidden="1" customWidth="1"/>
    <col min="14354" max="14354" width="20.42578125" style="366" customWidth="1"/>
    <col min="14355" max="14355" width="18" style="366" customWidth="1"/>
    <col min="14356" max="14592" width="9.140625" style="366"/>
    <col min="14593" max="14593" width="10.42578125" style="366" customWidth="1"/>
    <col min="14594" max="14594" width="39.28515625" style="366" customWidth="1"/>
    <col min="14595" max="14596" width="20.140625" style="366" customWidth="1"/>
    <col min="14597" max="14609" width="0" style="366" hidden="1" customWidth="1"/>
    <col min="14610" max="14610" width="20.42578125" style="366" customWidth="1"/>
    <col min="14611" max="14611" width="18" style="366" customWidth="1"/>
    <col min="14612" max="14848" width="9.140625" style="366"/>
    <col min="14849" max="14849" width="10.42578125" style="366" customWidth="1"/>
    <col min="14850" max="14850" width="39.28515625" style="366" customWidth="1"/>
    <col min="14851" max="14852" width="20.140625" style="366" customWidth="1"/>
    <col min="14853" max="14865" width="0" style="366" hidden="1" customWidth="1"/>
    <col min="14866" max="14866" width="20.42578125" style="366" customWidth="1"/>
    <col min="14867" max="14867" width="18" style="366" customWidth="1"/>
    <col min="14868" max="15104" width="9.140625" style="366"/>
    <col min="15105" max="15105" width="10.42578125" style="366" customWidth="1"/>
    <col min="15106" max="15106" width="39.28515625" style="366" customWidth="1"/>
    <col min="15107" max="15108" width="20.140625" style="366" customWidth="1"/>
    <col min="15109" max="15121" width="0" style="366" hidden="1" customWidth="1"/>
    <col min="15122" max="15122" width="20.42578125" style="366" customWidth="1"/>
    <col min="15123" max="15123" width="18" style="366" customWidth="1"/>
    <col min="15124" max="15360" width="9.140625" style="366"/>
    <col min="15361" max="15361" width="10.42578125" style="366" customWidth="1"/>
    <col min="15362" max="15362" width="39.28515625" style="366" customWidth="1"/>
    <col min="15363" max="15364" width="20.140625" style="366" customWidth="1"/>
    <col min="15365" max="15377" width="0" style="366" hidden="1" customWidth="1"/>
    <col min="15378" max="15378" width="20.42578125" style="366" customWidth="1"/>
    <col min="15379" max="15379" width="18" style="366" customWidth="1"/>
    <col min="15380" max="15616" width="9.140625" style="366"/>
    <col min="15617" max="15617" width="10.42578125" style="366" customWidth="1"/>
    <col min="15618" max="15618" width="39.28515625" style="366" customWidth="1"/>
    <col min="15619" max="15620" width="20.140625" style="366" customWidth="1"/>
    <col min="15621" max="15633" width="0" style="366" hidden="1" customWidth="1"/>
    <col min="15634" max="15634" width="20.42578125" style="366" customWidth="1"/>
    <col min="15635" max="15635" width="18" style="366" customWidth="1"/>
    <col min="15636" max="15872" width="9.140625" style="366"/>
    <col min="15873" max="15873" width="10.42578125" style="366" customWidth="1"/>
    <col min="15874" max="15874" width="39.28515625" style="366" customWidth="1"/>
    <col min="15875" max="15876" width="20.140625" style="366" customWidth="1"/>
    <col min="15877" max="15889" width="0" style="366" hidden="1" customWidth="1"/>
    <col min="15890" max="15890" width="20.42578125" style="366" customWidth="1"/>
    <col min="15891" max="15891" width="18" style="366" customWidth="1"/>
    <col min="15892" max="16128" width="9.140625" style="366"/>
    <col min="16129" max="16129" width="10.42578125" style="366" customWidth="1"/>
    <col min="16130" max="16130" width="39.28515625" style="366" customWidth="1"/>
    <col min="16131" max="16132" width="20.140625" style="366" customWidth="1"/>
    <col min="16133" max="16145" width="0" style="366" hidden="1" customWidth="1"/>
    <col min="16146" max="16146" width="20.42578125" style="366" customWidth="1"/>
    <col min="16147" max="16147" width="18" style="366" customWidth="1"/>
    <col min="16148" max="16384" width="9.140625" style="366"/>
  </cols>
  <sheetData>
    <row r="1" spans="1:19" ht="34.5" customHeight="1" x14ac:dyDescent="0.2">
      <c r="A1" s="555" t="s">
        <v>0</v>
      </c>
      <c r="B1" s="555" t="s">
        <v>494</v>
      </c>
      <c r="C1" s="557" t="s">
        <v>495</v>
      </c>
      <c r="D1" s="557" t="s">
        <v>496</v>
      </c>
      <c r="E1" s="557" t="s">
        <v>497</v>
      </c>
      <c r="F1" s="559" t="s">
        <v>498</v>
      </c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1"/>
      <c r="R1" s="554" t="s">
        <v>499</v>
      </c>
      <c r="S1" s="554" t="s">
        <v>500</v>
      </c>
    </row>
    <row r="2" spans="1:19" ht="43.5" customHeight="1" x14ac:dyDescent="0.2">
      <c r="A2" s="556"/>
      <c r="B2" s="556"/>
      <c r="C2" s="558"/>
      <c r="D2" s="558"/>
      <c r="E2" s="558"/>
      <c r="F2" s="367" t="s">
        <v>501</v>
      </c>
      <c r="G2" s="367" t="s">
        <v>6</v>
      </c>
      <c r="H2" s="368" t="s">
        <v>7</v>
      </c>
      <c r="I2" s="368" t="s">
        <v>8</v>
      </c>
      <c r="J2" s="368" t="s">
        <v>9</v>
      </c>
      <c r="K2" s="368" t="s">
        <v>10</v>
      </c>
      <c r="L2" s="368" t="s">
        <v>11</v>
      </c>
      <c r="M2" s="368" t="s">
        <v>12</v>
      </c>
      <c r="N2" s="368" t="s">
        <v>13</v>
      </c>
      <c r="O2" s="368" t="s">
        <v>14</v>
      </c>
      <c r="P2" s="368" t="s">
        <v>15</v>
      </c>
      <c r="Q2" s="368" t="s">
        <v>16</v>
      </c>
      <c r="R2" s="554"/>
      <c r="S2" s="554"/>
    </row>
    <row r="3" spans="1:19" ht="43.5" customHeight="1" x14ac:dyDescent="0.2">
      <c r="A3" s="369"/>
      <c r="B3" s="369"/>
      <c r="C3" s="370"/>
      <c r="D3" s="370"/>
      <c r="E3" s="371">
        <f>E4-E5</f>
        <v>0</v>
      </c>
      <c r="F3" s="372"/>
      <c r="G3" s="367"/>
      <c r="H3" s="368"/>
      <c r="I3" s="373"/>
      <c r="J3" s="368"/>
      <c r="K3" s="368"/>
      <c r="L3" s="368"/>
      <c r="M3" s="368"/>
      <c r="N3" s="368"/>
      <c r="O3" s="368"/>
      <c r="P3" s="368"/>
      <c r="Q3" s="368"/>
      <c r="R3" s="367"/>
      <c r="S3" s="367"/>
    </row>
    <row r="4" spans="1:19" ht="28.5" customHeight="1" x14ac:dyDescent="0.2">
      <c r="A4" s="374"/>
      <c r="B4" s="375" t="s">
        <v>502</v>
      </c>
      <c r="C4" s="376"/>
      <c r="D4" s="377"/>
      <c r="E4" s="377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8"/>
      <c r="S4" s="376"/>
    </row>
    <row r="5" spans="1:19" s="382" customFormat="1" ht="19.5" customHeight="1" x14ac:dyDescent="0.25">
      <c r="A5" s="379"/>
      <c r="B5" s="380" t="s">
        <v>503</v>
      </c>
      <c r="C5" s="381">
        <f>C6+C12+C13+C14+C15</f>
        <v>3393731000</v>
      </c>
      <c r="D5" s="381">
        <f>D6+D12+D13+D14+D15</f>
        <v>3523217487</v>
      </c>
      <c r="E5" s="381">
        <f t="shared" ref="E5:S5" si="0">E6+E12+E13+E14+E15</f>
        <v>0</v>
      </c>
      <c r="F5" s="381">
        <f t="shared" si="0"/>
        <v>265362189.02000001</v>
      </c>
      <c r="G5" s="381">
        <f t="shared" si="0"/>
        <v>280127267.25</v>
      </c>
      <c r="H5" s="381">
        <f t="shared" si="0"/>
        <v>280418944.26999998</v>
      </c>
      <c r="I5" s="381">
        <f t="shared" si="0"/>
        <v>281334796.53000003</v>
      </c>
      <c r="J5" s="381">
        <f t="shared" si="0"/>
        <v>280879910.65999997</v>
      </c>
      <c r="K5" s="381">
        <f t="shared" si="0"/>
        <v>277986914.34000003</v>
      </c>
      <c r="L5" s="381">
        <f t="shared" si="0"/>
        <v>282415150.2899999</v>
      </c>
      <c r="M5" s="381">
        <f t="shared" si="0"/>
        <v>278139771.93000013</v>
      </c>
      <c r="N5" s="381">
        <f t="shared" si="0"/>
        <v>270707747.40999997</v>
      </c>
      <c r="O5" s="381">
        <f t="shared" si="0"/>
        <v>367114274.65999985</v>
      </c>
      <c r="P5" s="381">
        <f t="shared" si="0"/>
        <v>292868175.65000015</v>
      </c>
      <c r="Q5" s="381">
        <f t="shared" si="0"/>
        <v>364783871.21999991</v>
      </c>
      <c r="R5" s="381">
        <f t="shared" si="0"/>
        <v>3522139013.2300005</v>
      </c>
      <c r="S5" s="381">
        <f t="shared" si="0"/>
        <v>1078473.7699999595</v>
      </c>
    </row>
    <row r="6" spans="1:19" s="382" customFormat="1" ht="19.5" customHeight="1" x14ac:dyDescent="0.25">
      <c r="A6" s="379"/>
      <c r="B6" s="380" t="s">
        <v>34</v>
      </c>
      <c r="C6" s="381">
        <f>SUM(C7:C11)</f>
        <v>3393431000</v>
      </c>
      <c r="D6" s="381">
        <f>SUM(D7:D11)</f>
        <v>3424431199</v>
      </c>
      <c r="E6" s="381">
        <f t="shared" ref="E6:S6" si="1">SUM(E7:E11)</f>
        <v>0</v>
      </c>
      <c r="F6" s="381">
        <f t="shared" si="1"/>
        <v>265359132.02000001</v>
      </c>
      <c r="G6" s="381">
        <f t="shared" si="1"/>
        <v>279648166.42000002</v>
      </c>
      <c r="H6" s="381">
        <f t="shared" si="1"/>
        <v>280153462.75999999</v>
      </c>
      <c r="I6" s="381">
        <f t="shared" si="1"/>
        <v>281127599.96000004</v>
      </c>
      <c r="J6" s="381">
        <f t="shared" si="1"/>
        <v>280649182.66999996</v>
      </c>
      <c r="K6" s="381">
        <f t="shared" si="1"/>
        <v>277986250.97000003</v>
      </c>
      <c r="L6" s="381">
        <f t="shared" si="1"/>
        <v>282206030.69999993</v>
      </c>
      <c r="M6" s="381">
        <f t="shared" si="1"/>
        <v>277925901.04000014</v>
      </c>
      <c r="N6" s="381">
        <f t="shared" si="1"/>
        <v>270707747.40999997</v>
      </c>
      <c r="O6" s="381">
        <f t="shared" si="1"/>
        <v>325140127.62999988</v>
      </c>
      <c r="P6" s="381">
        <f t="shared" si="1"/>
        <v>290163053.15000015</v>
      </c>
      <c r="Q6" s="381">
        <f t="shared" si="1"/>
        <v>312362181.05999994</v>
      </c>
      <c r="R6" s="381">
        <f t="shared" si="1"/>
        <v>3423428835.7900004</v>
      </c>
      <c r="S6" s="381">
        <f t="shared" si="1"/>
        <v>1002363.2099999541</v>
      </c>
    </row>
    <row r="7" spans="1:19" ht="19.5" customHeight="1" x14ac:dyDescent="0.2">
      <c r="A7" s="383"/>
      <c r="B7" s="384" t="s">
        <v>35</v>
      </c>
      <c r="C7" s="385">
        <f t="shared" ref="C7:S7" si="2">C19+C100</f>
        <v>16230000</v>
      </c>
      <c r="D7" s="385">
        <f t="shared" si="2"/>
        <v>16859200</v>
      </c>
      <c r="E7" s="385">
        <f t="shared" si="2"/>
        <v>0</v>
      </c>
      <c r="F7" s="385">
        <f t="shared" si="2"/>
        <v>1236223.3500000001</v>
      </c>
      <c r="G7" s="385">
        <f t="shared" si="2"/>
        <v>1282397.4899999998</v>
      </c>
      <c r="H7" s="385">
        <f t="shared" si="2"/>
        <v>1270649.8200000003</v>
      </c>
      <c r="I7" s="385">
        <f t="shared" si="2"/>
        <v>1272633.6499999994</v>
      </c>
      <c r="J7" s="385">
        <f t="shared" si="2"/>
        <v>1263632.1800000006</v>
      </c>
      <c r="K7" s="385">
        <f t="shared" si="2"/>
        <v>1261411.5499999998</v>
      </c>
      <c r="L7" s="385">
        <f t="shared" si="2"/>
        <v>1304072.8400000008</v>
      </c>
      <c r="M7" s="385">
        <f t="shared" si="2"/>
        <v>1245706.3699999992</v>
      </c>
      <c r="N7" s="385">
        <f t="shared" si="2"/>
        <v>1231902.0899999999</v>
      </c>
      <c r="O7" s="385">
        <f t="shared" si="2"/>
        <v>1510362.3599999996</v>
      </c>
      <c r="P7" s="385">
        <f t="shared" si="2"/>
        <v>1424861.0800000012</v>
      </c>
      <c r="Q7" s="385">
        <f t="shared" si="2"/>
        <v>2549385.5499999998</v>
      </c>
      <c r="R7" s="385">
        <f t="shared" si="2"/>
        <v>16853238.330000002</v>
      </c>
      <c r="S7" s="385">
        <f t="shared" si="2"/>
        <v>5961.66999999978</v>
      </c>
    </row>
    <row r="8" spans="1:19" ht="19.5" customHeight="1" x14ac:dyDescent="0.2">
      <c r="A8" s="383"/>
      <c r="B8" s="384" t="s">
        <v>36</v>
      </c>
      <c r="C8" s="385">
        <f t="shared" ref="C8:S8" si="3">C20+C101+C181+C301+C417+C423</f>
        <v>17079000</v>
      </c>
      <c r="D8" s="385">
        <f t="shared" si="3"/>
        <v>15183942</v>
      </c>
      <c r="E8" s="385">
        <f t="shared" si="3"/>
        <v>0</v>
      </c>
      <c r="F8" s="385">
        <f t="shared" si="3"/>
        <v>1077429.67</v>
      </c>
      <c r="G8" s="385">
        <f t="shared" si="3"/>
        <v>1080285.7799999998</v>
      </c>
      <c r="H8" s="385">
        <f t="shared" si="3"/>
        <v>1024807.3800000001</v>
      </c>
      <c r="I8" s="385">
        <f t="shared" si="3"/>
        <v>1093062.58</v>
      </c>
      <c r="J8" s="385">
        <f t="shared" si="3"/>
        <v>1018584.1599999999</v>
      </c>
      <c r="K8" s="385">
        <f t="shared" si="3"/>
        <v>1067774.1399999999</v>
      </c>
      <c r="L8" s="385">
        <f t="shared" si="3"/>
        <v>1038203.3500000003</v>
      </c>
      <c r="M8" s="385">
        <f t="shared" si="3"/>
        <v>1021639.04</v>
      </c>
      <c r="N8" s="385">
        <f t="shared" si="3"/>
        <v>1045362.5399999998</v>
      </c>
      <c r="O8" s="385">
        <f t="shared" si="3"/>
        <v>2346492.6900000004</v>
      </c>
      <c r="P8" s="385">
        <f t="shared" si="3"/>
        <v>1270848.3799999999</v>
      </c>
      <c r="Q8" s="385">
        <f t="shared" si="3"/>
        <v>1913815.8599999999</v>
      </c>
      <c r="R8" s="385">
        <f t="shared" si="3"/>
        <v>14998305.569999998</v>
      </c>
      <c r="S8" s="385">
        <f t="shared" si="3"/>
        <v>185636.43000000005</v>
      </c>
    </row>
    <row r="9" spans="1:19" ht="19.5" customHeight="1" x14ac:dyDescent="0.2">
      <c r="A9" s="383"/>
      <c r="B9" s="384" t="s">
        <v>504</v>
      </c>
      <c r="C9" s="385">
        <f>C102+C180</f>
        <v>3000</v>
      </c>
      <c r="D9" s="385">
        <f t="shared" ref="D9:S9" si="4">D102+D180</f>
        <v>56500</v>
      </c>
      <c r="E9" s="385">
        <f t="shared" si="4"/>
        <v>0</v>
      </c>
      <c r="F9" s="385">
        <f t="shared" si="4"/>
        <v>0</v>
      </c>
      <c r="G9" s="385">
        <f t="shared" si="4"/>
        <v>39168</v>
      </c>
      <c r="H9" s="385">
        <f t="shared" si="4"/>
        <v>17123.400000000001</v>
      </c>
      <c r="I9" s="385">
        <f t="shared" si="4"/>
        <v>0</v>
      </c>
      <c r="J9" s="385">
        <f t="shared" si="4"/>
        <v>0</v>
      </c>
      <c r="K9" s="385">
        <f t="shared" si="4"/>
        <v>0</v>
      </c>
      <c r="L9" s="385">
        <f t="shared" si="4"/>
        <v>0</v>
      </c>
      <c r="M9" s="385">
        <f t="shared" si="4"/>
        <v>0</v>
      </c>
      <c r="N9" s="385">
        <f t="shared" si="4"/>
        <v>0</v>
      </c>
      <c r="O9" s="385">
        <f t="shared" si="4"/>
        <v>0</v>
      </c>
      <c r="P9" s="385">
        <f t="shared" si="4"/>
        <v>0</v>
      </c>
      <c r="Q9" s="385">
        <f t="shared" si="4"/>
        <v>0</v>
      </c>
      <c r="R9" s="385">
        <f t="shared" si="4"/>
        <v>56291.4</v>
      </c>
      <c r="S9" s="385">
        <f t="shared" si="4"/>
        <v>208.59999999999854</v>
      </c>
    </row>
    <row r="10" spans="1:19" ht="19.5" customHeight="1" x14ac:dyDescent="0.2">
      <c r="A10" s="383"/>
      <c r="B10" s="384" t="s">
        <v>39</v>
      </c>
      <c r="C10" s="385">
        <f t="shared" ref="C10:S10" si="5">C21+C103+C182+C302+C418</f>
        <v>3353832000</v>
      </c>
      <c r="D10" s="385">
        <f t="shared" si="5"/>
        <v>3357606483</v>
      </c>
      <c r="E10" s="385">
        <f t="shared" si="5"/>
        <v>0</v>
      </c>
      <c r="F10" s="385">
        <f t="shared" si="5"/>
        <v>263044804.94</v>
      </c>
      <c r="G10" s="385">
        <f t="shared" si="5"/>
        <v>277235729.61000001</v>
      </c>
      <c r="H10" s="385">
        <f t="shared" si="5"/>
        <v>277651491.77999997</v>
      </c>
      <c r="I10" s="385">
        <f t="shared" si="5"/>
        <v>277382664.29000002</v>
      </c>
      <c r="J10" s="385">
        <f t="shared" si="5"/>
        <v>277964203.71999997</v>
      </c>
      <c r="K10" s="385">
        <f t="shared" si="5"/>
        <v>275166058.40000004</v>
      </c>
      <c r="L10" s="385">
        <f t="shared" si="5"/>
        <v>278984535.2899999</v>
      </c>
      <c r="M10" s="385">
        <f t="shared" si="5"/>
        <v>274420734.37000012</v>
      </c>
      <c r="N10" s="385">
        <f t="shared" si="5"/>
        <v>268007676.31999999</v>
      </c>
      <c r="O10" s="385">
        <f t="shared" si="5"/>
        <v>298585743.94999987</v>
      </c>
      <c r="P10" s="385">
        <f t="shared" si="5"/>
        <v>284920161.08000016</v>
      </c>
      <c r="Q10" s="385">
        <f t="shared" si="5"/>
        <v>303623089.18999994</v>
      </c>
      <c r="R10" s="385">
        <f t="shared" si="5"/>
        <v>3356986892.9400001</v>
      </c>
      <c r="S10" s="385">
        <f t="shared" si="5"/>
        <v>619590.05999995221</v>
      </c>
    </row>
    <row r="11" spans="1:19" ht="19.5" customHeight="1" x14ac:dyDescent="0.2">
      <c r="A11" s="383"/>
      <c r="B11" s="384" t="s">
        <v>40</v>
      </c>
      <c r="C11" s="385">
        <f t="shared" ref="C11:S11" si="6">C22+C104+C183+C303+C419+C424</f>
        <v>6287000</v>
      </c>
      <c r="D11" s="385">
        <f t="shared" si="6"/>
        <v>34725074</v>
      </c>
      <c r="E11" s="385">
        <f t="shared" si="6"/>
        <v>0</v>
      </c>
      <c r="F11" s="385">
        <f t="shared" si="6"/>
        <v>674.06</v>
      </c>
      <c r="G11" s="385">
        <f t="shared" si="6"/>
        <v>10585.54</v>
      </c>
      <c r="H11" s="385">
        <f t="shared" si="6"/>
        <v>189390.38</v>
      </c>
      <c r="I11" s="385">
        <f t="shared" si="6"/>
        <v>1379239.44</v>
      </c>
      <c r="J11" s="385">
        <f t="shared" si="6"/>
        <v>402762.61000000004</v>
      </c>
      <c r="K11" s="385">
        <f t="shared" si="6"/>
        <v>491006.88</v>
      </c>
      <c r="L11" s="385">
        <f t="shared" si="6"/>
        <v>879219.22</v>
      </c>
      <c r="M11" s="385">
        <f t="shared" si="6"/>
        <v>1237821.26</v>
      </c>
      <c r="N11" s="385">
        <f t="shared" si="6"/>
        <v>422806.45999999985</v>
      </c>
      <c r="O11" s="385">
        <f t="shared" si="6"/>
        <v>22697528.630000003</v>
      </c>
      <c r="P11" s="385">
        <f t="shared" si="6"/>
        <v>2547182.61</v>
      </c>
      <c r="Q11" s="385">
        <f t="shared" si="6"/>
        <v>4275890.459999999</v>
      </c>
      <c r="R11" s="385">
        <f t="shared" si="6"/>
        <v>34534107.549999997</v>
      </c>
      <c r="S11" s="385">
        <f t="shared" si="6"/>
        <v>190966.45000000199</v>
      </c>
    </row>
    <row r="12" spans="1:19" s="382" customFormat="1" ht="20.25" customHeight="1" x14ac:dyDescent="0.25">
      <c r="A12" s="379"/>
      <c r="B12" s="380" t="s">
        <v>41</v>
      </c>
      <c r="C12" s="381">
        <f t="shared" ref="C12:S12" si="7">C23+C105+C305</f>
        <v>300000</v>
      </c>
      <c r="D12" s="381">
        <f t="shared" si="7"/>
        <v>96098211</v>
      </c>
      <c r="E12" s="381">
        <f t="shared" si="7"/>
        <v>0</v>
      </c>
      <c r="F12" s="381">
        <f t="shared" si="7"/>
        <v>3057</v>
      </c>
      <c r="G12" s="381">
        <f t="shared" si="7"/>
        <v>50</v>
      </c>
      <c r="H12" s="381">
        <f t="shared" si="7"/>
        <v>20110.810000000001</v>
      </c>
      <c r="I12" s="381">
        <f t="shared" si="7"/>
        <v>61.93999999999869</v>
      </c>
      <c r="J12" s="381">
        <f t="shared" si="7"/>
        <v>6115</v>
      </c>
      <c r="K12" s="381">
        <f t="shared" si="7"/>
        <v>663.36999999999898</v>
      </c>
      <c r="L12" s="381">
        <f t="shared" si="7"/>
        <v>6027.0000000000036</v>
      </c>
      <c r="M12" s="381">
        <f t="shared" si="7"/>
        <v>0</v>
      </c>
      <c r="N12" s="381">
        <f t="shared" si="7"/>
        <v>0</v>
      </c>
      <c r="O12" s="381">
        <f t="shared" si="7"/>
        <v>41974147.030000001</v>
      </c>
      <c r="P12" s="381">
        <f t="shared" si="7"/>
        <v>2034866.24</v>
      </c>
      <c r="Q12" s="381">
        <f t="shared" si="7"/>
        <v>51977555.699999996</v>
      </c>
      <c r="R12" s="381">
        <f t="shared" si="7"/>
        <v>96022654.089999989</v>
      </c>
      <c r="S12" s="381">
        <f t="shared" si="7"/>
        <v>75556.910000005388</v>
      </c>
    </row>
    <row r="13" spans="1:19" s="382" customFormat="1" ht="19.5" customHeight="1" x14ac:dyDescent="0.25">
      <c r="A13" s="379"/>
      <c r="B13" s="380" t="s">
        <v>43</v>
      </c>
      <c r="C13" s="381">
        <f t="shared" ref="C13:S13" si="8">C24+C106+C184+C304</f>
        <v>0</v>
      </c>
      <c r="D13" s="381">
        <f t="shared" si="8"/>
        <v>0</v>
      </c>
      <c r="E13" s="381">
        <f t="shared" si="8"/>
        <v>0</v>
      </c>
      <c r="F13" s="381">
        <f t="shared" si="8"/>
        <v>0</v>
      </c>
      <c r="G13" s="381">
        <f t="shared" si="8"/>
        <v>0</v>
      </c>
      <c r="H13" s="381">
        <f t="shared" si="8"/>
        <v>0</v>
      </c>
      <c r="I13" s="381">
        <f t="shared" si="8"/>
        <v>0</v>
      </c>
      <c r="J13" s="381">
        <f t="shared" si="8"/>
        <v>0</v>
      </c>
      <c r="K13" s="381">
        <f t="shared" si="8"/>
        <v>0</v>
      </c>
      <c r="L13" s="381">
        <f t="shared" si="8"/>
        <v>0</v>
      </c>
      <c r="M13" s="381">
        <f t="shared" si="8"/>
        <v>0</v>
      </c>
      <c r="N13" s="381">
        <f t="shared" si="8"/>
        <v>0</v>
      </c>
      <c r="O13" s="381">
        <f t="shared" si="8"/>
        <v>0</v>
      </c>
      <c r="P13" s="381">
        <f t="shared" si="8"/>
        <v>0</v>
      </c>
      <c r="Q13" s="381">
        <f t="shared" si="8"/>
        <v>0</v>
      </c>
      <c r="R13" s="381">
        <f t="shared" si="8"/>
        <v>0</v>
      </c>
      <c r="S13" s="381">
        <f t="shared" si="8"/>
        <v>0</v>
      </c>
    </row>
    <row r="14" spans="1:19" s="382" customFormat="1" ht="19.5" customHeight="1" x14ac:dyDescent="0.25">
      <c r="A14" s="379"/>
      <c r="B14" s="386" t="s">
        <v>505</v>
      </c>
      <c r="C14" s="381">
        <f t="shared" ref="C14:S14" si="9">C185</f>
        <v>0</v>
      </c>
      <c r="D14" s="381">
        <f t="shared" si="9"/>
        <v>0</v>
      </c>
      <c r="E14" s="381">
        <f t="shared" si="9"/>
        <v>0</v>
      </c>
      <c r="F14" s="381">
        <f t="shared" si="9"/>
        <v>0</v>
      </c>
      <c r="G14" s="381">
        <f t="shared" si="9"/>
        <v>0</v>
      </c>
      <c r="H14" s="381">
        <f t="shared" si="9"/>
        <v>0</v>
      </c>
      <c r="I14" s="381">
        <f t="shared" si="9"/>
        <v>0</v>
      </c>
      <c r="J14" s="381">
        <f t="shared" si="9"/>
        <v>0</v>
      </c>
      <c r="K14" s="381">
        <f t="shared" si="9"/>
        <v>0</v>
      </c>
      <c r="L14" s="381">
        <f t="shared" si="9"/>
        <v>0</v>
      </c>
      <c r="M14" s="381">
        <f t="shared" si="9"/>
        <v>0</v>
      </c>
      <c r="N14" s="381">
        <f t="shared" si="9"/>
        <v>0</v>
      </c>
      <c r="O14" s="381">
        <f t="shared" si="9"/>
        <v>0</v>
      </c>
      <c r="P14" s="381">
        <f t="shared" si="9"/>
        <v>0</v>
      </c>
      <c r="Q14" s="381">
        <f t="shared" si="9"/>
        <v>0</v>
      </c>
      <c r="R14" s="381">
        <f t="shared" si="9"/>
        <v>0</v>
      </c>
      <c r="S14" s="381">
        <f t="shared" si="9"/>
        <v>0</v>
      </c>
    </row>
    <row r="15" spans="1:19" s="382" customFormat="1" ht="19.5" customHeight="1" x14ac:dyDescent="0.25">
      <c r="A15" s="379"/>
      <c r="B15" s="387" t="s">
        <v>506</v>
      </c>
      <c r="C15" s="388">
        <f t="shared" ref="C15:S15" si="10">C186+C306</f>
        <v>0</v>
      </c>
      <c r="D15" s="388">
        <f t="shared" si="10"/>
        <v>2688077</v>
      </c>
      <c r="E15" s="388">
        <f t="shared" si="10"/>
        <v>0</v>
      </c>
      <c r="F15" s="388">
        <f t="shared" si="10"/>
        <v>0</v>
      </c>
      <c r="G15" s="388">
        <f t="shared" si="10"/>
        <v>479050.83</v>
      </c>
      <c r="H15" s="388">
        <f t="shared" si="10"/>
        <v>245370.7</v>
      </c>
      <c r="I15" s="388">
        <f t="shared" si="10"/>
        <v>207134.63</v>
      </c>
      <c r="J15" s="388">
        <f t="shared" si="10"/>
        <v>224612.98999999987</v>
      </c>
      <c r="K15" s="388">
        <f t="shared" si="10"/>
        <v>0</v>
      </c>
      <c r="L15" s="388">
        <f t="shared" si="10"/>
        <v>203092.59000000008</v>
      </c>
      <c r="M15" s="388">
        <f t="shared" si="10"/>
        <v>213870.89</v>
      </c>
      <c r="N15" s="388">
        <f t="shared" si="10"/>
        <v>0</v>
      </c>
      <c r="O15" s="388">
        <f t="shared" si="10"/>
        <v>0</v>
      </c>
      <c r="P15" s="388">
        <f t="shared" si="10"/>
        <v>670256.26000000024</v>
      </c>
      <c r="Q15" s="388">
        <f t="shared" si="10"/>
        <v>444134.46</v>
      </c>
      <c r="R15" s="388">
        <f t="shared" si="10"/>
        <v>2687523.35</v>
      </c>
      <c r="S15" s="388">
        <f t="shared" si="10"/>
        <v>553.64999999990687</v>
      </c>
    </row>
    <row r="16" spans="1:19" s="382" customFormat="1" ht="40.5" customHeight="1" x14ac:dyDescent="0.25">
      <c r="A16" s="389" t="s">
        <v>507</v>
      </c>
      <c r="B16" s="390" t="s">
        <v>508</v>
      </c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</row>
    <row r="17" spans="1:19" s="382" customFormat="1" ht="19.5" customHeight="1" x14ac:dyDescent="0.25">
      <c r="A17" s="392"/>
      <c r="B17" s="393" t="s">
        <v>503</v>
      </c>
      <c r="C17" s="391">
        <f t="shared" ref="C17:S17" si="11">C18+C23+C24</f>
        <v>0</v>
      </c>
      <c r="D17" s="391">
        <f t="shared" si="11"/>
        <v>127205340</v>
      </c>
      <c r="E17" s="391">
        <f t="shared" si="11"/>
        <v>0</v>
      </c>
      <c r="F17" s="391">
        <f t="shared" si="11"/>
        <v>0</v>
      </c>
      <c r="G17" s="391">
        <f t="shared" si="11"/>
        <v>0</v>
      </c>
      <c r="H17" s="391">
        <f t="shared" si="11"/>
        <v>0</v>
      </c>
      <c r="I17" s="391">
        <f t="shared" si="11"/>
        <v>0</v>
      </c>
      <c r="J17" s="391">
        <f t="shared" si="11"/>
        <v>0</v>
      </c>
      <c r="K17" s="391">
        <f t="shared" si="11"/>
        <v>0</v>
      </c>
      <c r="L17" s="391">
        <f t="shared" si="11"/>
        <v>0</v>
      </c>
      <c r="M17" s="391">
        <f t="shared" si="11"/>
        <v>0</v>
      </c>
      <c r="N17" s="391">
        <f t="shared" si="11"/>
        <v>0</v>
      </c>
      <c r="O17" s="391">
        <f t="shared" si="11"/>
        <v>67329842.939999998</v>
      </c>
      <c r="P17" s="391">
        <f t="shared" si="11"/>
        <v>4974266.5199999996</v>
      </c>
      <c r="Q17" s="391">
        <f t="shared" si="11"/>
        <v>54698593.779999994</v>
      </c>
      <c r="R17" s="391">
        <f t="shared" si="11"/>
        <v>127002703.23999999</v>
      </c>
      <c r="S17" s="391">
        <f t="shared" si="11"/>
        <v>202636.76000000705</v>
      </c>
    </row>
    <row r="18" spans="1:19" s="382" customFormat="1" ht="22.5" customHeight="1" x14ac:dyDescent="0.25">
      <c r="A18" s="389"/>
      <c r="B18" s="393" t="s">
        <v>34</v>
      </c>
      <c r="C18" s="391">
        <f t="shared" ref="C18:S18" si="12">SUM(C19:C22)</f>
        <v>0</v>
      </c>
      <c r="D18" s="391">
        <f t="shared" si="12"/>
        <v>32074817</v>
      </c>
      <c r="E18" s="391">
        <f t="shared" si="12"/>
        <v>0</v>
      </c>
      <c r="F18" s="391">
        <f t="shared" si="12"/>
        <v>0</v>
      </c>
      <c r="G18" s="391">
        <f t="shared" si="12"/>
        <v>0</v>
      </c>
      <c r="H18" s="391">
        <f t="shared" si="12"/>
        <v>0</v>
      </c>
      <c r="I18" s="391">
        <f t="shared" si="12"/>
        <v>0</v>
      </c>
      <c r="J18" s="391">
        <f t="shared" si="12"/>
        <v>0</v>
      </c>
      <c r="K18" s="391">
        <f t="shared" si="12"/>
        <v>0</v>
      </c>
      <c r="L18" s="391">
        <f t="shared" si="12"/>
        <v>0</v>
      </c>
      <c r="M18" s="391">
        <f t="shared" si="12"/>
        <v>0</v>
      </c>
      <c r="N18" s="391">
        <f t="shared" si="12"/>
        <v>0</v>
      </c>
      <c r="O18" s="391">
        <f t="shared" si="12"/>
        <v>25432957.379999999</v>
      </c>
      <c r="P18" s="391">
        <f t="shared" si="12"/>
        <v>2974266.5199999996</v>
      </c>
      <c r="Q18" s="391">
        <f t="shared" si="12"/>
        <v>3464956.3499999987</v>
      </c>
      <c r="R18" s="391">
        <f t="shared" si="12"/>
        <v>31872180.25</v>
      </c>
      <c r="S18" s="391">
        <f t="shared" si="12"/>
        <v>202636.75000000169</v>
      </c>
    </row>
    <row r="19" spans="1:19" s="382" customFormat="1" ht="19.5" customHeight="1" x14ac:dyDescent="0.25">
      <c r="A19" s="394"/>
      <c r="B19" s="395" t="s">
        <v>35</v>
      </c>
      <c r="C19" s="391">
        <f t="shared" ref="C19:S24" si="13">C28+C37+C46+C55+C64+C73+C82+C91</f>
        <v>0</v>
      </c>
      <c r="D19" s="391">
        <f t="shared" si="13"/>
        <v>696400</v>
      </c>
      <c r="E19" s="391">
        <f t="shared" si="13"/>
        <v>0</v>
      </c>
      <c r="F19" s="391">
        <f t="shared" si="13"/>
        <v>0</v>
      </c>
      <c r="G19" s="391">
        <f t="shared" si="13"/>
        <v>0</v>
      </c>
      <c r="H19" s="391">
        <f t="shared" si="13"/>
        <v>0</v>
      </c>
      <c r="I19" s="391">
        <f t="shared" si="13"/>
        <v>0</v>
      </c>
      <c r="J19" s="391">
        <f t="shared" si="13"/>
        <v>0</v>
      </c>
      <c r="K19" s="391">
        <f t="shared" si="13"/>
        <v>0</v>
      </c>
      <c r="L19" s="391">
        <f t="shared" si="13"/>
        <v>0</v>
      </c>
      <c r="M19" s="391">
        <f t="shared" si="13"/>
        <v>0</v>
      </c>
      <c r="N19" s="391">
        <f t="shared" si="13"/>
        <v>0</v>
      </c>
      <c r="O19" s="391">
        <f t="shared" si="13"/>
        <v>246366.34</v>
      </c>
      <c r="P19" s="391">
        <f t="shared" si="13"/>
        <v>165925.54999999999</v>
      </c>
      <c r="Q19" s="391">
        <f t="shared" si="13"/>
        <v>279588.7</v>
      </c>
      <c r="R19" s="391">
        <f t="shared" si="13"/>
        <v>691880.59000000008</v>
      </c>
      <c r="S19" s="391">
        <f t="shared" si="13"/>
        <v>4519.4100000000035</v>
      </c>
    </row>
    <row r="20" spans="1:19" s="382" customFormat="1" ht="19.5" customHeight="1" x14ac:dyDescent="0.25">
      <c r="A20" s="394"/>
      <c r="B20" s="395" t="s">
        <v>36</v>
      </c>
      <c r="C20" s="391">
        <f t="shared" si="13"/>
        <v>0</v>
      </c>
      <c r="D20" s="391">
        <f t="shared" si="13"/>
        <v>1650182</v>
      </c>
      <c r="E20" s="391">
        <f t="shared" si="13"/>
        <v>0</v>
      </c>
      <c r="F20" s="391">
        <f t="shared" si="13"/>
        <v>0</v>
      </c>
      <c r="G20" s="391">
        <f t="shared" si="13"/>
        <v>0</v>
      </c>
      <c r="H20" s="391">
        <f t="shared" si="13"/>
        <v>0</v>
      </c>
      <c r="I20" s="391">
        <f t="shared" si="13"/>
        <v>0</v>
      </c>
      <c r="J20" s="391">
        <f t="shared" si="13"/>
        <v>0</v>
      </c>
      <c r="K20" s="391">
        <f t="shared" si="13"/>
        <v>0</v>
      </c>
      <c r="L20" s="391">
        <f t="shared" si="13"/>
        <v>0</v>
      </c>
      <c r="M20" s="391">
        <f t="shared" si="13"/>
        <v>0</v>
      </c>
      <c r="N20" s="391">
        <f t="shared" si="13"/>
        <v>0</v>
      </c>
      <c r="O20" s="391">
        <f t="shared" si="13"/>
        <v>1062713.72</v>
      </c>
      <c r="P20" s="391">
        <f t="shared" si="13"/>
        <v>121258.95000000001</v>
      </c>
      <c r="Q20" s="391">
        <f t="shared" si="13"/>
        <v>362617.26999999996</v>
      </c>
      <c r="R20" s="391">
        <f t="shared" si="13"/>
        <v>1546589.94</v>
      </c>
      <c r="S20" s="391">
        <f t="shared" si="13"/>
        <v>103592.06000000003</v>
      </c>
    </row>
    <row r="21" spans="1:19" s="382" customFormat="1" ht="19.5" customHeight="1" x14ac:dyDescent="0.25">
      <c r="A21" s="394"/>
      <c r="B21" s="395" t="s">
        <v>39</v>
      </c>
      <c r="C21" s="391">
        <f t="shared" si="13"/>
        <v>0</v>
      </c>
      <c r="D21" s="391">
        <f t="shared" si="13"/>
        <v>2470035</v>
      </c>
      <c r="E21" s="391">
        <f t="shared" si="13"/>
        <v>0</v>
      </c>
      <c r="F21" s="391">
        <f t="shared" si="13"/>
        <v>0</v>
      </c>
      <c r="G21" s="391">
        <f t="shared" si="13"/>
        <v>0</v>
      </c>
      <c r="H21" s="391">
        <f t="shared" si="13"/>
        <v>0</v>
      </c>
      <c r="I21" s="391">
        <f t="shared" si="13"/>
        <v>0</v>
      </c>
      <c r="J21" s="391">
        <f t="shared" si="13"/>
        <v>0</v>
      </c>
      <c r="K21" s="391">
        <f t="shared" si="13"/>
        <v>0</v>
      </c>
      <c r="L21" s="391">
        <f t="shared" si="13"/>
        <v>0</v>
      </c>
      <c r="M21" s="391">
        <f t="shared" si="13"/>
        <v>0</v>
      </c>
      <c r="N21" s="391">
        <f t="shared" si="13"/>
        <v>0</v>
      </c>
      <c r="O21" s="391">
        <f t="shared" si="13"/>
        <v>1611318.71</v>
      </c>
      <c r="P21" s="391">
        <f t="shared" si="13"/>
        <v>350167.18</v>
      </c>
      <c r="Q21" s="391">
        <f t="shared" si="13"/>
        <v>494525.79</v>
      </c>
      <c r="R21" s="391">
        <f t="shared" si="13"/>
        <v>2456011.6799999997</v>
      </c>
      <c r="S21" s="391">
        <f t="shared" si="13"/>
        <v>14023.32</v>
      </c>
    </row>
    <row r="22" spans="1:19" s="382" customFormat="1" ht="19.5" customHeight="1" x14ac:dyDescent="0.25">
      <c r="A22" s="394"/>
      <c r="B22" s="395" t="s">
        <v>40</v>
      </c>
      <c r="C22" s="391">
        <f t="shared" si="13"/>
        <v>0</v>
      </c>
      <c r="D22" s="391">
        <f t="shared" si="13"/>
        <v>27258200</v>
      </c>
      <c r="E22" s="391">
        <f t="shared" si="13"/>
        <v>0</v>
      </c>
      <c r="F22" s="391">
        <f t="shared" si="13"/>
        <v>0</v>
      </c>
      <c r="G22" s="391">
        <f t="shared" si="13"/>
        <v>0</v>
      </c>
      <c r="H22" s="391">
        <f t="shared" si="13"/>
        <v>0</v>
      </c>
      <c r="I22" s="391">
        <f t="shared" si="13"/>
        <v>0</v>
      </c>
      <c r="J22" s="391">
        <f t="shared" si="13"/>
        <v>0</v>
      </c>
      <c r="K22" s="391">
        <f t="shared" si="13"/>
        <v>0</v>
      </c>
      <c r="L22" s="391">
        <f t="shared" si="13"/>
        <v>0</v>
      </c>
      <c r="M22" s="391">
        <f t="shared" si="13"/>
        <v>0</v>
      </c>
      <c r="N22" s="391">
        <f t="shared" si="13"/>
        <v>0</v>
      </c>
      <c r="O22" s="391">
        <f t="shared" si="13"/>
        <v>22512558.609999999</v>
      </c>
      <c r="P22" s="391">
        <f t="shared" si="13"/>
        <v>2336914.84</v>
      </c>
      <c r="Q22" s="391">
        <f t="shared" si="13"/>
        <v>2328224.5899999989</v>
      </c>
      <c r="R22" s="391">
        <f t="shared" si="13"/>
        <v>27177698.039999999</v>
      </c>
      <c r="S22" s="391">
        <f t="shared" si="13"/>
        <v>80501.960000001636</v>
      </c>
    </row>
    <row r="23" spans="1:19" s="382" customFormat="1" ht="19.5" customHeight="1" x14ac:dyDescent="0.25">
      <c r="A23" s="396"/>
      <c r="B23" s="397" t="s">
        <v>41</v>
      </c>
      <c r="C23" s="391">
        <f t="shared" si="13"/>
        <v>0</v>
      </c>
      <c r="D23" s="391">
        <f t="shared" si="13"/>
        <v>95130523</v>
      </c>
      <c r="E23" s="391">
        <f t="shared" si="13"/>
        <v>0</v>
      </c>
      <c r="F23" s="391">
        <f t="shared" si="13"/>
        <v>0</v>
      </c>
      <c r="G23" s="391">
        <f t="shared" si="13"/>
        <v>0</v>
      </c>
      <c r="H23" s="391">
        <f t="shared" si="13"/>
        <v>0</v>
      </c>
      <c r="I23" s="391">
        <f t="shared" si="13"/>
        <v>0</v>
      </c>
      <c r="J23" s="391">
        <f t="shared" si="13"/>
        <v>0</v>
      </c>
      <c r="K23" s="391">
        <f t="shared" si="13"/>
        <v>0</v>
      </c>
      <c r="L23" s="391">
        <f t="shared" si="13"/>
        <v>0</v>
      </c>
      <c r="M23" s="391">
        <f t="shared" si="13"/>
        <v>0</v>
      </c>
      <c r="N23" s="391">
        <f t="shared" si="13"/>
        <v>0</v>
      </c>
      <c r="O23" s="391">
        <f t="shared" si="13"/>
        <v>41896885.560000002</v>
      </c>
      <c r="P23" s="391">
        <f t="shared" si="13"/>
        <v>2000000</v>
      </c>
      <c r="Q23" s="391">
        <f t="shared" si="13"/>
        <v>51233637.429999992</v>
      </c>
      <c r="R23" s="391">
        <f t="shared" si="13"/>
        <v>95130522.989999995</v>
      </c>
      <c r="S23" s="391">
        <f t="shared" si="13"/>
        <v>1.000000536441803E-2</v>
      </c>
    </row>
    <row r="24" spans="1:19" s="382" customFormat="1" ht="19.5" customHeight="1" x14ac:dyDescent="0.25">
      <c r="A24" s="394"/>
      <c r="B24" s="395" t="s">
        <v>43</v>
      </c>
      <c r="C24" s="391">
        <f t="shared" si="13"/>
        <v>0</v>
      </c>
      <c r="D24" s="391">
        <f t="shared" si="13"/>
        <v>0</v>
      </c>
      <c r="E24" s="391">
        <f t="shared" si="13"/>
        <v>0</v>
      </c>
      <c r="F24" s="391">
        <f t="shared" si="13"/>
        <v>0</v>
      </c>
      <c r="G24" s="391">
        <f t="shared" si="13"/>
        <v>0</v>
      </c>
      <c r="H24" s="391">
        <f t="shared" si="13"/>
        <v>0</v>
      </c>
      <c r="I24" s="391">
        <f t="shared" si="13"/>
        <v>0</v>
      </c>
      <c r="J24" s="391">
        <f t="shared" si="13"/>
        <v>0</v>
      </c>
      <c r="K24" s="391">
        <f t="shared" si="13"/>
        <v>0</v>
      </c>
      <c r="L24" s="391">
        <f t="shared" si="13"/>
        <v>0</v>
      </c>
      <c r="M24" s="391">
        <f t="shared" si="13"/>
        <v>0</v>
      </c>
      <c r="N24" s="391">
        <f t="shared" si="13"/>
        <v>0</v>
      </c>
      <c r="O24" s="391">
        <f t="shared" si="13"/>
        <v>0</v>
      </c>
      <c r="P24" s="391">
        <f t="shared" si="13"/>
        <v>0</v>
      </c>
      <c r="Q24" s="391">
        <f t="shared" si="13"/>
        <v>0</v>
      </c>
      <c r="R24" s="391">
        <f t="shared" si="13"/>
        <v>0</v>
      </c>
      <c r="S24" s="391">
        <f t="shared" si="13"/>
        <v>0</v>
      </c>
    </row>
    <row r="25" spans="1:19" s="382" customFormat="1" ht="42" customHeight="1" x14ac:dyDescent="0.25">
      <c r="A25" s="398" t="s">
        <v>509</v>
      </c>
      <c r="B25" s="398" t="s">
        <v>508</v>
      </c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</row>
    <row r="26" spans="1:19" s="382" customFormat="1" ht="19.5" customHeight="1" x14ac:dyDescent="0.25">
      <c r="A26" s="399"/>
      <c r="B26" s="400" t="s">
        <v>503</v>
      </c>
      <c r="C26" s="388">
        <f t="shared" ref="C26:S26" si="14">C27+C32+C33</f>
        <v>0</v>
      </c>
      <c r="D26" s="388">
        <f t="shared" si="14"/>
        <v>743400</v>
      </c>
      <c r="E26" s="388">
        <f t="shared" si="14"/>
        <v>0</v>
      </c>
      <c r="F26" s="388">
        <f t="shared" si="14"/>
        <v>0</v>
      </c>
      <c r="G26" s="388">
        <f t="shared" si="14"/>
        <v>0</v>
      </c>
      <c r="H26" s="388">
        <f t="shared" si="14"/>
        <v>0</v>
      </c>
      <c r="I26" s="388">
        <f t="shared" si="14"/>
        <v>0</v>
      </c>
      <c r="J26" s="388">
        <f t="shared" si="14"/>
        <v>0</v>
      </c>
      <c r="K26" s="388">
        <f t="shared" si="14"/>
        <v>0</v>
      </c>
      <c r="L26" s="388">
        <f t="shared" si="14"/>
        <v>0</v>
      </c>
      <c r="M26" s="388">
        <f t="shared" si="14"/>
        <v>0</v>
      </c>
      <c r="N26" s="388">
        <f t="shared" si="14"/>
        <v>0</v>
      </c>
      <c r="O26" s="388">
        <f t="shared" si="14"/>
        <v>123861.12000000001</v>
      </c>
      <c r="P26" s="388">
        <f t="shared" si="14"/>
        <v>203034.21999999997</v>
      </c>
      <c r="Q26" s="388">
        <f t="shared" si="14"/>
        <v>368727.7</v>
      </c>
      <c r="R26" s="388">
        <f t="shared" si="14"/>
        <v>695623.04</v>
      </c>
      <c r="S26" s="388">
        <f t="shared" si="14"/>
        <v>47776.959999999985</v>
      </c>
    </row>
    <row r="27" spans="1:19" s="382" customFormat="1" ht="19.5" customHeight="1" x14ac:dyDescent="0.25">
      <c r="A27" s="398"/>
      <c r="B27" s="400" t="s">
        <v>34</v>
      </c>
      <c r="C27" s="388">
        <f t="shared" ref="C27:S27" si="15">SUM(C28:C31)</f>
        <v>0</v>
      </c>
      <c r="D27" s="388">
        <f>SUM(D28:D31)</f>
        <v>743400</v>
      </c>
      <c r="E27" s="388">
        <f t="shared" si="15"/>
        <v>0</v>
      </c>
      <c r="F27" s="388">
        <f t="shared" si="15"/>
        <v>0</v>
      </c>
      <c r="G27" s="388">
        <f t="shared" si="15"/>
        <v>0</v>
      </c>
      <c r="H27" s="388">
        <f t="shared" si="15"/>
        <v>0</v>
      </c>
      <c r="I27" s="388">
        <f t="shared" si="15"/>
        <v>0</v>
      </c>
      <c r="J27" s="388">
        <f t="shared" si="15"/>
        <v>0</v>
      </c>
      <c r="K27" s="388">
        <f t="shared" si="15"/>
        <v>0</v>
      </c>
      <c r="L27" s="388">
        <f t="shared" si="15"/>
        <v>0</v>
      </c>
      <c r="M27" s="388">
        <f t="shared" si="15"/>
        <v>0</v>
      </c>
      <c r="N27" s="388">
        <f t="shared" si="15"/>
        <v>0</v>
      </c>
      <c r="O27" s="388">
        <f t="shared" si="15"/>
        <v>123861.12000000001</v>
      </c>
      <c r="P27" s="388">
        <f t="shared" si="15"/>
        <v>203034.21999999997</v>
      </c>
      <c r="Q27" s="388">
        <f t="shared" si="15"/>
        <v>368727.7</v>
      </c>
      <c r="R27" s="388">
        <f t="shared" si="15"/>
        <v>695623.04</v>
      </c>
      <c r="S27" s="388">
        <f t="shared" si="15"/>
        <v>47776.959999999985</v>
      </c>
    </row>
    <row r="28" spans="1:19" s="382" customFormat="1" ht="19.5" customHeight="1" x14ac:dyDescent="0.25">
      <c r="A28" s="399"/>
      <c r="B28" s="401" t="s">
        <v>35</v>
      </c>
      <c r="C28" s="402"/>
      <c r="D28" s="402">
        <v>523400</v>
      </c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>
        <v>106366.19</v>
      </c>
      <c r="P28" s="402">
        <v>153925.54999999999</v>
      </c>
      <c r="Q28" s="402">
        <v>258608.7</v>
      </c>
      <c r="R28" s="403">
        <f t="shared" ref="R28:R33" si="16">SUM(F28:Q28)</f>
        <v>518900.44</v>
      </c>
      <c r="S28" s="385">
        <f t="shared" ref="S28:S33" si="17">D28-R28</f>
        <v>4499.5599999999977</v>
      </c>
    </row>
    <row r="29" spans="1:19" s="382" customFormat="1" ht="19.5" customHeight="1" x14ac:dyDescent="0.25">
      <c r="A29" s="399"/>
      <c r="B29" s="401" t="s">
        <v>36</v>
      </c>
      <c r="C29" s="402"/>
      <c r="D29" s="402">
        <v>200000</v>
      </c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>
        <v>15269.55</v>
      </c>
      <c r="P29" s="402">
        <v>46901.490000000005</v>
      </c>
      <c r="Q29" s="402">
        <v>105883.44</v>
      </c>
      <c r="R29" s="403">
        <f t="shared" si="16"/>
        <v>168054.48</v>
      </c>
      <c r="S29" s="385">
        <f t="shared" si="17"/>
        <v>31945.51999999999</v>
      </c>
    </row>
    <row r="30" spans="1:19" s="382" customFormat="1" ht="19.5" customHeight="1" x14ac:dyDescent="0.25">
      <c r="A30" s="399"/>
      <c r="B30" s="401" t="s">
        <v>39</v>
      </c>
      <c r="C30" s="402"/>
      <c r="D30" s="402">
        <v>15000</v>
      </c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>
        <v>2225.38</v>
      </c>
      <c r="P30" s="402">
        <v>2207.1800000000003</v>
      </c>
      <c r="Q30" s="402">
        <v>1335.2599999999993</v>
      </c>
      <c r="R30" s="403">
        <f t="shared" si="16"/>
        <v>5767.82</v>
      </c>
      <c r="S30" s="385">
        <f t="shared" si="17"/>
        <v>9232.18</v>
      </c>
    </row>
    <row r="31" spans="1:19" s="382" customFormat="1" ht="19.5" customHeight="1" x14ac:dyDescent="0.25">
      <c r="A31" s="399"/>
      <c r="B31" s="401" t="s">
        <v>40</v>
      </c>
      <c r="C31" s="402"/>
      <c r="D31" s="402">
        <v>5000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>
        <v>0</v>
      </c>
      <c r="Q31" s="402">
        <v>2900.3</v>
      </c>
      <c r="R31" s="403">
        <f t="shared" si="16"/>
        <v>2900.3</v>
      </c>
      <c r="S31" s="385">
        <f t="shared" si="17"/>
        <v>2099.6999999999998</v>
      </c>
    </row>
    <row r="32" spans="1:19" s="382" customFormat="1" ht="19.5" customHeight="1" x14ac:dyDescent="0.25">
      <c r="A32" s="404"/>
      <c r="B32" s="398" t="s">
        <v>41</v>
      </c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>
        <v>0</v>
      </c>
      <c r="Q32" s="402">
        <v>0</v>
      </c>
      <c r="R32" s="403">
        <f t="shared" si="16"/>
        <v>0</v>
      </c>
      <c r="S32" s="385">
        <f t="shared" si="17"/>
        <v>0</v>
      </c>
    </row>
    <row r="33" spans="1:19" s="382" customFormat="1" ht="19.5" customHeight="1" x14ac:dyDescent="0.25">
      <c r="A33" s="399"/>
      <c r="B33" s="401" t="s">
        <v>43</v>
      </c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>
        <v>0</v>
      </c>
      <c r="Q33" s="402">
        <v>0</v>
      </c>
      <c r="R33" s="403">
        <f t="shared" si="16"/>
        <v>0</v>
      </c>
      <c r="S33" s="385">
        <f t="shared" si="17"/>
        <v>0</v>
      </c>
    </row>
    <row r="34" spans="1:19" s="382" customFormat="1" ht="39.75" customHeight="1" x14ac:dyDescent="0.25">
      <c r="A34" s="398" t="s">
        <v>437</v>
      </c>
      <c r="B34" s="398" t="s">
        <v>510</v>
      </c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3"/>
      <c r="S34" s="385"/>
    </row>
    <row r="35" spans="1:19" s="382" customFormat="1" ht="24" customHeight="1" x14ac:dyDescent="0.25">
      <c r="A35" s="399"/>
      <c r="B35" s="400" t="s">
        <v>503</v>
      </c>
      <c r="C35" s="388">
        <f t="shared" ref="C35:S35" si="18">C36+C41+C42</f>
        <v>0</v>
      </c>
      <c r="D35" s="388">
        <f t="shared" si="18"/>
        <v>184500</v>
      </c>
      <c r="E35" s="388">
        <f t="shared" si="18"/>
        <v>0</v>
      </c>
      <c r="F35" s="388">
        <f t="shared" si="18"/>
        <v>0</v>
      </c>
      <c r="G35" s="388">
        <f t="shared" si="18"/>
        <v>0</v>
      </c>
      <c r="H35" s="388">
        <f t="shared" si="18"/>
        <v>0</v>
      </c>
      <c r="I35" s="388">
        <f t="shared" si="18"/>
        <v>0</v>
      </c>
      <c r="J35" s="388">
        <f t="shared" si="18"/>
        <v>0</v>
      </c>
      <c r="K35" s="388">
        <f t="shared" si="18"/>
        <v>0</v>
      </c>
      <c r="L35" s="388">
        <f t="shared" si="18"/>
        <v>0</v>
      </c>
      <c r="M35" s="388">
        <f t="shared" si="18"/>
        <v>0</v>
      </c>
      <c r="N35" s="388">
        <f t="shared" si="18"/>
        <v>0</v>
      </c>
      <c r="O35" s="388">
        <f t="shared" si="18"/>
        <v>140516.44999999998</v>
      </c>
      <c r="P35" s="388">
        <f t="shared" si="18"/>
        <v>12818.300000000003</v>
      </c>
      <c r="Q35" s="388">
        <f t="shared" si="18"/>
        <v>18743.990000000005</v>
      </c>
      <c r="R35" s="388">
        <f t="shared" si="18"/>
        <v>172078.74</v>
      </c>
      <c r="S35" s="388">
        <f t="shared" si="18"/>
        <v>12421.259999999997</v>
      </c>
    </row>
    <row r="36" spans="1:19" s="382" customFormat="1" ht="21.75" customHeight="1" x14ac:dyDescent="0.25">
      <c r="A36" s="398"/>
      <c r="B36" s="400" t="s">
        <v>34</v>
      </c>
      <c r="C36" s="388">
        <f t="shared" ref="C36:S36" si="19">SUM(C37:C40)</f>
        <v>0</v>
      </c>
      <c r="D36" s="388">
        <f t="shared" si="19"/>
        <v>184500</v>
      </c>
      <c r="E36" s="388">
        <f t="shared" si="19"/>
        <v>0</v>
      </c>
      <c r="F36" s="388">
        <f t="shared" si="19"/>
        <v>0</v>
      </c>
      <c r="G36" s="388">
        <f t="shared" si="19"/>
        <v>0</v>
      </c>
      <c r="H36" s="388">
        <f t="shared" si="19"/>
        <v>0</v>
      </c>
      <c r="I36" s="388">
        <f t="shared" si="19"/>
        <v>0</v>
      </c>
      <c r="J36" s="388">
        <f t="shared" si="19"/>
        <v>0</v>
      </c>
      <c r="K36" s="388">
        <f t="shared" si="19"/>
        <v>0</v>
      </c>
      <c r="L36" s="388">
        <f t="shared" si="19"/>
        <v>0</v>
      </c>
      <c r="M36" s="388">
        <f t="shared" si="19"/>
        <v>0</v>
      </c>
      <c r="N36" s="388">
        <f t="shared" si="19"/>
        <v>0</v>
      </c>
      <c r="O36" s="388">
        <f t="shared" si="19"/>
        <v>140516.44999999998</v>
      </c>
      <c r="P36" s="388">
        <f t="shared" si="19"/>
        <v>12818.300000000003</v>
      </c>
      <c r="Q36" s="388">
        <f t="shared" si="19"/>
        <v>18743.990000000005</v>
      </c>
      <c r="R36" s="388">
        <f t="shared" si="19"/>
        <v>172078.74</v>
      </c>
      <c r="S36" s="388">
        <f t="shared" si="19"/>
        <v>12421.259999999997</v>
      </c>
    </row>
    <row r="37" spans="1:19" s="382" customFormat="1" ht="19.5" customHeight="1" x14ac:dyDescent="0.25">
      <c r="A37" s="399"/>
      <c r="B37" s="401" t="s">
        <v>35</v>
      </c>
      <c r="C37" s="402"/>
      <c r="D37" s="402">
        <v>102100</v>
      </c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>
        <v>82304.34</v>
      </c>
      <c r="P37" s="402">
        <v>7300</v>
      </c>
      <c r="Q37" s="402">
        <v>12490</v>
      </c>
      <c r="R37" s="403">
        <f t="shared" ref="R37:R42" si="20">SUM(F37:Q37)</f>
        <v>102094.34</v>
      </c>
      <c r="S37" s="385">
        <f t="shared" ref="S37:S42" si="21">D37-R37</f>
        <v>5.6600000000034925</v>
      </c>
    </row>
    <row r="38" spans="1:19" s="382" customFormat="1" ht="19.5" customHeight="1" x14ac:dyDescent="0.25">
      <c r="A38" s="399"/>
      <c r="B38" s="401" t="s">
        <v>36</v>
      </c>
      <c r="C38" s="402"/>
      <c r="D38" s="402">
        <v>79400</v>
      </c>
      <c r="E38" s="402"/>
      <c r="F38" s="402"/>
      <c r="G38" s="402"/>
      <c r="H38" s="402"/>
      <c r="I38" s="402"/>
      <c r="J38" s="402"/>
      <c r="K38" s="402"/>
      <c r="L38" s="402"/>
      <c r="M38" s="402"/>
      <c r="N38" s="402"/>
      <c r="O38" s="402">
        <v>56278.78</v>
      </c>
      <c r="P38" s="402">
        <v>5518.3000000000029</v>
      </c>
      <c r="Q38" s="402">
        <v>6253.9900000000052</v>
      </c>
      <c r="R38" s="403">
        <f t="shared" si="20"/>
        <v>68051.070000000007</v>
      </c>
      <c r="S38" s="385">
        <f t="shared" si="21"/>
        <v>11348.929999999993</v>
      </c>
    </row>
    <row r="39" spans="1:19" s="382" customFormat="1" ht="19.5" customHeight="1" x14ac:dyDescent="0.25">
      <c r="A39" s="399"/>
      <c r="B39" s="401" t="s">
        <v>39</v>
      </c>
      <c r="C39" s="402"/>
      <c r="D39" s="402">
        <v>2000</v>
      </c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>
        <v>1933.33</v>
      </c>
      <c r="P39" s="402">
        <v>0</v>
      </c>
      <c r="Q39" s="402">
        <v>0</v>
      </c>
      <c r="R39" s="403">
        <f t="shared" si="20"/>
        <v>1933.33</v>
      </c>
      <c r="S39" s="385">
        <f t="shared" si="21"/>
        <v>66.670000000000073</v>
      </c>
    </row>
    <row r="40" spans="1:19" s="382" customFormat="1" ht="19.5" customHeight="1" x14ac:dyDescent="0.25">
      <c r="A40" s="399"/>
      <c r="B40" s="401" t="s">
        <v>40</v>
      </c>
      <c r="C40" s="402"/>
      <c r="D40" s="402">
        <v>1000</v>
      </c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>
        <v>0</v>
      </c>
      <c r="Q40" s="402">
        <v>0</v>
      </c>
      <c r="R40" s="403">
        <f t="shared" si="20"/>
        <v>0</v>
      </c>
      <c r="S40" s="385">
        <f t="shared" si="21"/>
        <v>1000</v>
      </c>
    </row>
    <row r="41" spans="1:19" s="382" customFormat="1" ht="19.5" customHeight="1" x14ac:dyDescent="0.25">
      <c r="A41" s="404"/>
      <c r="B41" s="398" t="s">
        <v>41</v>
      </c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>
        <v>0</v>
      </c>
      <c r="Q41" s="402">
        <v>0</v>
      </c>
      <c r="R41" s="403">
        <f t="shared" si="20"/>
        <v>0</v>
      </c>
      <c r="S41" s="385">
        <f t="shared" si="21"/>
        <v>0</v>
      </c>
    </row>
    <row r="42" spans="1:19" s="382" customFormat="1" ht="19.5" customHeight="1" x14ac:dyDescent="0.25">
      <c r="A42" s="399"/>
      <c r="B42" s="401" t="s">
        <v>43</v>
      </c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>
        <v>0</v>
      </c>
      <c r="Q42" s="402">
        <v>0</v>
      </c>
      <c r="R42" s="403">
        <f t="shared" si="20"/>
        <v>0</v>
      </c>
      <c r="S42" s="385">
        <f t="shared" si="21"/>
        <v>0</v>
      </c>
    </row>
    <row r="43" spans="1:19" s="382" customFormat="1" ht="72" customHeight="1" x14ac:dyDescent="0.25">
      <c r="A43" s="398" t="s">
        <v>511</v>
      </c>
      <c r="B43" s="398" t="s">
        <v>512</v>
      </c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3"/>
      <c r="S43" s="385"/>
    </row>
    <row r="44" spans="1:19" s="382" customFormat="1" ht="19.5" customHeight="1" x14ac:dyDescent="0.25">
      <c r="A44" s="399"/>
      <c r="B44" s="400" t="s">
        <v>503</v>
      </c>
      <c r="C44" s="388">
        <f t="shared" ref="C44:S44" si="22">C45+C50+C51</f>
        <v>0</v>
      </c>
      <c r="D44" s="388">
        <f t="shared" si="22"/>
        <v>215500</v>
      </c>
      <c r="E44" s="388">
        <f t="shared" si="22"/>
        <v>0</v>
      </c>
      <c r="F44" s="388">
        <f t="shared" si="22"/>
        <v>0</v>
      </c>
      <c r="G44" s="388">
        <f t="shared" si="22"/>
        <v>0</v>
      </c>
      <c r="H44" s="388">
        <f t="shared" si="22"/>
        <v>0</v>
      </c>
      <c r="I44" s="388">
        <f t="shared" si="22"/>
        <v>0</v>
      </c>
      <c r="J44" s="388">
        <f t="shared" si="22"/>
        <v>0</v>
      </c>
      <c r="K44" s="388">
        <f t="shared" si="22"/>
        <v>0</v>
      </c>
      <c r="L44" s="388">
        <f t="shared" si="22"/>
        <v>0</v>
      </c>
      <c r="M44" s="388">
        <f t="shared" si="22"/>
        <v>0</v>
      </c>
      <c r="N44" s="388">
        <f t="shared" si="22"/>
        <v>0</v>
      </c>
      <c r="O44" s="388">
        <f t="shared" si="22"/>
        <v>175195.21</v>
      </c>
      <c r="P44" s="388">
        <f t="shared" si="22"/>
        <v>9832.1600000000035</v>
      </c>
      <c r="Q44" s="388">
        <f t="shared" si="22"/>
        <v>28250.36</v>
      </c>
      <c r="R44" s="388">
        <f t="shared" si="22"/>
        <v>213277.72999999998</v>
      </c>
      <c r="S44" s="388">
        <f t="shared" si="22"/>
        <v>2222.270000000005</v>
      </c>
    </row>
    <row r="45" spans="1:19" s="382" customFormat="1" ht="22.5" customHeight="1" x14ac:dyDescent="0.25">
      <c r="A45" s="398"/>
      <c r="B45" s="400" t="s">
        <v>34</v>
      </c>
      <c r="C45" s="388">
        <f t="shared" ref="C45:S45" si="23">SUM(C46:C49)</f>
        <v>0</v>
      </c>
      <c r="D45" s="388">
        <f t="shared" si="23"/>
        <v>215500</v>
      </c>
      <c r="E45" s="388">
        <f t="shared" si="23"/>
        <v>0</v>
      </c>
      <c r="F45" s="388">
        <f t="shared" si="23"/>
        <v>0</v>
      </c>
      <c r="G45" s="388">
        <f t="shared" si="23"/>
        <v>0</v>
      </c>
      <c r="H45" s="388">
        <f t="shared" si="23"/>
        <v>0</v>
      </c>
      <c r="I45" s="388">
        <f t="shared" si="23"/>
        <v>0</v>
      </c>
      <c r="J45" s="388">
        <f t="shared" si="23"/>
        <v>0</v>
      </c>
      <c r="K45" s="388">
        <f t="shared" si="23"/>
        <v>0</v>
      </c>
      <c r="L45" s="388">
        <f t="shared" si="23"/>
        <v>0</v>
      </c>
      <c r="M45" s="388">
        <f t="shared" si="23"/>
        <v>0</v>
      </c>
      <c r="N45" s="388">
        <f t="shared" si="23"/>
        <v>0</v>
      </c>
      <c r="O45" s="388">
        <f t="shared" si="23"/>
        <v>175195.21</v>
      </c>
      <c r="P45" s="388">
        <f t="shared" si="23"/>
        <v>9832.1600000000035</v>
      </c>
      <c r="Q45" s="388">
        <f t="shared" si="23"/>
        <v>28250.36</v>
      </c>
      <c r="R45" s="388">
        <f t="shared" si="23"/>
        <v>213277.72999999998</v>
      </c>
      <c r="S45" s="388">
        <f t="shared" si="23"/>
        <v>2222.270000000005</v>
      </c>
    </row>
    <row r="46" spans="1:19" s="382" customFormat="1" ht="19.5" customHeight="1" x14ac:dyDescent="0.25">
      <c r="A46" s="399"/>
      <c r="B46" s="401" t="s">
        <v>35</v>
      </c>
      <c r="C46" s="402"/>
      <c r="D46" s="402">
        <v>70900</v>
      </c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>
        <v>57695.81</v>
      </c>
      <c r="P46" s="402">
        <v>4700</v>
      </c>
      <c r="Q46" s="402">
        <v>8490</v>
      </c>
      <c r="R46" s="403">
        <f t="shared" ref="R46:R51" si="24">SUM(F46:Q46)</f>
        <v>70885.81</v>
      </c>
      <c r="S46" s="385">
        <f t="shared" ref="S46:S51" si="25">D46-R46</f>
        <v>14.190000000002328</v>
      </c>
    </row>
    <row r="47" spans="1:19" s="382" customFormat="1" ht="19.5" customHeight="1" x14ac:dyDescent="0.25">
      <c r="A47" s="399"/>
      <c r="B47" s="401" t="s">
        <v>36</v>
      </c>
      <c r="C47" s="402"/>
      <c r="D47" s="402">
        <v>141600</v>
      </c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>
        <v>116679.4</v>
      </c>
      <c r="P47" s="402">
        <v>5132.1600000000035</v>
      </c>
      <c r="Q47" s="402">
        <v>19324</v>
      </c>
      <c r="R47" s="403">
        <f t="shared" si="24"/>
        <v>141135.56</v>
      </c>
      <c r="S47" s="385">
        <f t="shared" si="25"/>
        <v>464.44000000000233</v>
      </c>
    </row>
    <row r="48" spans="1:19" s="382" customFormat="1" ht="19.5" customHeight="1" x14ac:dyDescent="0.25">
      <c r="A48" s="399"/>
      <c r="B48" s="401" t="s">
        <v>39</v>
      </c>
      <c r="C48" s="402"/>
      <c r="D48" s="402">
        <v>2000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>
        <v>720</v>
      </c>
      <c r="P48" s="402">
        <v>0</v>
      </c>
      <c r="Q48" s="402">
        <v>436.3599999999999</v>
      </c>
      <c r="R48" s="403">
        <f t="shared" si="24"/>
        <v>1156.3599999999999</v>
      </c>
      <c r="S48" s="385">
        <f t="shared" si="25"/>
        <v>843.6400000000001</v>
      </c>
    </row>
    <row r="49" spans="1:19" s="382" customFormat="1" ht="19.5" customHeight="1" x14ac:dyDescent="0.25">
      <c r="A49" s="399"/>
      <c r="B49" s="401" t="s">
        <v>40</v>
      </c>
      <c r="C49" s="402"/>
      <c r="D49" s="402">
        <v>1000</v>
      </c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>
        <v>100</v>
      </c>
      <c r="P49" s="402">
        <v>0</v>
      </c>
      <c r="Q49" s="402">
        <v>0</v>
      </c>
      <c r="R49" s="403">
        <f t="shared" si="24"/>
        <v>100</v>
      </c>
      <c r="S49" s="385">
        <f t="shared" si="25"/>
        <v>900</v>
      </c>
    </row>
    <row r="50" spans="1:19" s="382" customFormat="1" ht="19.5" customHeight="1" x14ac:dyDescent="0.25">
      <c r="A50" s="404"/>
      <c r="B50" s="398" t="s">
        <v>41</v>
      </c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>
        <v>0</v>
      </c>
      <c r="Q50" s="402">
        <v>0</v>
      </c>
      <c r="R50" s="403">
        <f t="shared" si="24"/>
        <v>0</v>
      </c>
      <c r="S50" s="385">
        <f t="shared" si="25"/>
        <v>0</v>
      </c>
    </row>
    <row r="51" spans="1:19" s="382" customFormat="1" ht="19.5" customHeight="1" x14ac:dyDescent="0.25">
      <c r="A51" s="399"/>
      <c r="B51" s="401" t="s">
        <v>43</v>
      </c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>
        <v>0</v>
      </c>
      <c r="Q51" s="402">
        <v>0</v>
      </c>
      <c r="R51" s="403">
        <f t="shared" si="24"/>
        <v>0</v>
      </c>
      <c r="S51" s="385">
        <f t="shared" si="25"/>
        <v>0</v>
      </c>
    </row>
    <row r="52" spans="1:19" s="382" customFormat="1" ht="38.25" customHeight="1" x14ac:dyDescent="0.25">
      <c r="A52" s="398" t="s">
        <v>513</v>
      </c>
      <c r="B52" s="398" t="s">
        <v>514</v>
      </c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3"/>
      <c r="S52" s="385"/>
    </row>
    <row r="53" spans="1:19" s="382" customFormat="1" ht="19.5" customHeight="1" x14ac:dyDescent="0.25">
      <c r="A53" s="399"/>
      <c r="B53" s="400" t="s">
        <v>503</v>
      </c>
      <c r="C53" s="388">
        <f t="shared" ref="C53:S53" si="26">C54+C59+C60</f>
        <v>0</v>
      </c>
      <c r="D53" s="388">
        <f t="shared" si="26"/>
        <v>650000</v>
      </c>
      <c r="E53" s="388">
        <f t="shared" si="26"/>
        <v>0</v>
      </c>
      <c r="F53" s="388">
        <f t="shared" si="26"/>
        <v>0</v>
      </c>
      <c r="G53" s="388">
        <f t="shared" si="26"/>
        <v>0</v>
      </c>
      <c r="H53" s="388">
        <f t="shared" si="26"/>
        <v>0</v>
      </c>
      <c r="I53" s="388">
        <f t="shared" si="26"/>
        <v>0</v>
      </c>
      <c r="J53" s="388">
        <f t="shared" si="26"/>
        <v>0</v>
      </c>
      <c r="K53" s="388">
        <f t="shared" si="26"/>
        <v>0</v>
      </c>
      <c r="L53" s="388">
        <f t="shared" si="26"/>
        <v>0</v>
      </c>
      <c r="M53" s="388">
        <f t="shared" si="26"/>
        <v>0</v>
      </c>
      <c r="N53" s="388">
        <f t="shared" si="26"/>
        <v>0</v>
      </c>
      <c r="O53" s="388">
        <f t="shared" si="26"/>
        <v>454980</v>
      </c>
      <c r="P53" s="388">
        <f t="shared" si="26"/>
        <v>0</v>
      </c>
      <c r="Q53" s="388">
        <f t="shared" si="26"/>
        <v>195000</v>
      </c>
      <c r="R53" s="388">
        <f t="shared" si="26"/>
        <v>649980</v>
      </c>
      <c r="S53" s="388">
        <f t="shared" si="26"/>
        <v>20</v>
      </c>
    </row>
    <row r="54" spans="1:19" s="382" customFormat="1" ht="22.5" customHeight="1" x14ac:dyDescent="0.25">
      <c r="A54" s="398"/>
      <c r="B54" s="400" t="s">
        <v>34</v>
      </c>
      <c r="C54" s="388">
        <f t="shared" ref="C54:S54" si="27">SUM(C55:C58)</f>
        <v>0</v>
      </c>
      <c r="D54" s="388">
        <f t="shared" si="27"/>
        <v>650000</v>
      </c>
      <c r="E54" s="388">
        <f t="shared" si="27"/>
        <v>0</v>
      </c>
      <c r="F54" s="388">
        <f t="shared" si="27"/>
        <v>0</v>
      </c>
      <c r="G54" s="388">
        <f t="shared" si="27"/>
        <v>0</v>
      </c>
      <c r="H54" s="388">
        <f t="shared" si="27"/>
        <v>0</v>
      </c>
      <c r="I54" s="388">
        <f t="shared" si="27"/>
        <v>0</v>
      </c>
      <c r="J54" s="388">
        <f t="shared" si="27"/>
        <v>0</v>
      </c>
      <c r="K54" s="388">
        <f t="shared" si="27"/>
        <v>0</v>
      </c>
      <c r="L54" s="388">
        <f t="shared" si="27"/>
        <v>0</v>
      </c>
      <c r="M54" s="388">
        <f t="shared" si="27"/>
        <v>0</v>
      </c>
      <c r="N54" s="388">
        <f t="shared" si="27"/>
        <v>0</v>
      </c>
      <c r="O54" s="388">
        <f t="shared" si="27"/>
        <v>454980</v>
      </c>
      <c r="P54" s="388">
        <f t="shared" si="27"/>
        <v>0</v>
      </c>
      <c r="Q54" s="388">
        <f t="shared" si="27"/>
        <v>195000</v>
      </c>
      <c r="R54" s="388">
        <f t="shared" si="27"/>
        <v>649980</v>
      </c>
      <c r="S54" s="388">
        <f t="shared" si="27"/>
        <v>20</v>
      </c>
    </row>
    <row r="55" spans="1:19" s="382" customFormat="1" ht="19.5" customHeight="1" x14ac:dyDescent="0.25">
      <c r="A55" s="399"/>
      <c r="B55" s="401" t="s">
        <v>35</v>
      </c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>
        <v>0</v>
      </c>
      <c r="Q55" s="402">
        <v>0</v>
      </c>
      <c r="R55" s="403">
        <f t="shared" ref="R55:R60" si="28">SUM(F55:Q55)</f>
        <v>0</v>
      </c>
      <c r="S55" s="385">
        <f t="shared" ref="S55:S60" si="29">D55-R55</f>
        <v>0</v>
      </c>
    </row>
    <row r="56" spans="1:19" s="382" customFormat="1" ht="19.5" customHeight="1" x14ac:dyDescent="0.25">
      <c r="A56" s="399"/>
      <c r="B56" s="401" t="s">
        <v>36</v>
      </c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>
        <v>0</v>
      </c>
      <c r="Q56" s="402">
        <v>0</v>
      </c>
      <c r="R56" s="403">
        <f t="shared" si="28"/>
        <v>0</v>
      </c>
      <c r="S56" s="385">
        <f t="shared" si="29"/>
        <v>0</v>
      </c>
    </row>
    <row r="57" spans="1:19" s="382" customFormat="1" ht="19.5" customHeight="1" x14ac:dyDescent="0.25">
      <c r="A57" s="399"/>
      <c r="B57" s="401" t="s">
        <v>39</v>
      </c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>
        <v>0</v>
      </c>
      <c r="Q57" s="402">
        <v>0</v>
      </c>
      <c r="R57" s="403">
        <f t="shared" si="28"/>
        <v>0</v>
      </c>
      <c r="S57" s="385">
        <f t="shared" si="29"/>
        <v>0</v>
      </c>
    </row>
    <row r="58" spans="1:19" s="382" customFormat="1" ht="19.5" customHeight="1" x14ac:dyDescent="0.25">
      <c r="A58" s="399"/>
      <c r="B58" s="401" t="s">
        <v>40</v>
      </c>
      <c r="C58" s="402"/>
      <c r="D58" s="402">
        <v>650000</v>
      </c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>
        <v>454980</v>
      </c>
      <c r="P58" s="402">
        <v>0</v>
      </c>
      <c r="Q58" s="402">
        <v>195000</v>
      </c>
      <c r="R58" s="403">
        <f t="shared" si="28"/>
        <v>649980</v>
      </c>
      <c r="S58" s="385">
        <f t="shared" si="29"/>
        <v>20</v>
      </c>
    </row>
    <row r="59" spans="1:19" s="382" customFormat="1" ht="19.5" customHeight="1" x14ac:dyDescent="0.25">
      <c r="A59" s="404"/>
      <c r="B59" s="398" t="s">
        <v>41</v>
      </c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>
        <v>0</v>
      </c>
      <c r="Q59" s="402">
        <v>0</v>
      </c>
      <c r="R59" s="403">
        <f t="shared" si="28"/>
        <v>0</v>
      </c>
      <c r="S59" s="385">
        <f t="shared" si="29"/>
        <v>0</v>
      </c>
    </row>
    <row r="60" spans="1:19" s="382" customFormat="1" ht="19.5" customHeight="1" x14ac:dyDescent="0.25">
      <c r="A60" s="399"/>
      <c r="B60" s="401" t="s">
        <v>43</v>
      </c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>
        <v>0</v>
      </c>
      <c r="Q60" s="402">
        <v>0</v>
      </c>
      <c r="R60" s="403">
        <f t="shared" si="28"/>
        <v>0</v>
      </c>
      <c r="S60" s="385">
        <f t="shared" si="29"/>
        <v>0</v>
      </c>
    </row>
    <row r="61" spans="1:19" s="382" customFormat="1" ht="34.5" customHeight="1" x14ac:dyDescent="0.25">
      <c r="A61" s="398" t="s">
        <v>515</v>
      </c>
      <c r="B61" s="398" t="s">
        <v>516</v>
      </c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3"/>
      <c r="S61" s="385"/>
    </row>
    <row r="62" spans="1:19" s="382" customFormat="1" ht="19.5" customHeight="1" x14ac:dyDescent="0.25">
      <c r="A62" s="399"/>
      <c r="B62" s="400" t="s">
        <v>503</v>
      </c>
      <c r="C62" s="388">
        <f t="shared" ref="C62:S62" si="30">C63+C68+C69</f>
        <v>0</v>
      </c>
      <c r="D62" s="388">
        <f t="shared" si="30"/>
        <v>4064300</v>
      </c>
      <c r="E62" s="388">
        <f t="shared" si="30"/>
        <v>0</v>
      </c>
      <c r="F62" s="388">
        <f t="shared" si="30"/>
        <v>0</v>
      </c>
      <c r="G62" s="388">
        <f t="shared" si="30"/>
        <v>0</v>
      </c>
      <c r="H62" s="388">
        <f t="shared" si="30"/>
        <v>0</v>
      </c>
      <c r="I62" s="388">
        <f t="shared" si="30"/>
        <v>0</v>
      </c>
      <c r="J62" s="388">
        <f t="shared" si="30"/>
        <v>0</v>
      </c>
      <c r="K62" s="388">
        <f t="shared" si="30"/>
        <v>0</v>
      </c>
      <c r="L62" s="388">
        <f t="shared" si="30"/>
        <v>0</v>
      </c>
      <c r="M62" s="388">
        <f t="shared" si="30"/>
        <v>0</v>
      </c>
      <c r="N62" s="388">
        <f t="shared" si="30"/>
        <v>0</v>
      </c>
      <c r="O62" s="388">
        <f t="shared" si="30"/>
        <v>4011300</v>
      </c>
      <c r="P62" s="388">
        <f t="shared" si="30"/>
        <v>0</v>
      </c>
      <c r="Q62" s="388">
        <f t="shared" si="30"/>
        <v>51800</v>
      </c>
      <c r="R62" s="388">
        <f t="shared" si="30"/>
        <v>4063100</v>
      </c>
      <c r="S62" s="388">
        <f t="shared" si="30"/>
        <v>1200</v>
      </c>
    </row>
    <row r="63" spans="1:19" s="382" customFormat="1" ht="18.75" customHeight="1" x14ac:dyDescent="0.25">
      <c r="A63" s="398"/>
      <c r="B63" s="400" t="s">
        <v>34</v>
      </c>
      <c r="C63" s="388">
        <f t="shared" ref="C63:S63" si="31">SUM(C64:C67)</f>
        <v>0</v>
      </c>
      <c r="D63" s="388">
        <f t="shared" si="31"/>
        <v>4064300</v>
      </c>
      <c r="E63" s="388">
        <f t="shared" si="31"/>
        <v>0</v>
      </c>
      <c r="F63" s="388">
        <f t="shared" si="31"/>
        <v>0</v>
      </c>
      <c r="G63" s="388">
        <f t="shared" si="31"/>
        <v>0</v>
      </c>
      <c r="H63" s="388">
        <f t="shared" si="31"/>
        <v>0</v>
      </c>
      <c r="I63" s="388">
        <f t="shared" si="31"/>
        <v>0</v>
      </c>
      <c r="J63" s="388">
        <f t="shared" si="31"/>
        <v>0</v>
      </c>
      <c r="K63" s="388">
        <f t="shared" si="31"/>
        <v>0</v>
      </c>
      <c r="L63" s="388">
        <f t="shared" si="31"/>
        <v>0</v>
      </c>
      <c r="M63" s="388">
        <f t="shared" si="31"/>
        <v>0</v>
      </c>
      <c r="N63" s="388">
        <f t="shared" si="31"/>
        <v>0</v>
      </c>
      <c r="O63" s="388">
        <f t="shared" si="31"/>
        <v>4011300</v>
      </c>
      <c r="P63" s="388">
        <f t="shared" si="31"/>
        <v>0</v>
      </c>
      <c r="Q63" s="388">
        <f t="shared" si="31"/>
        <v>51800</v>
      </c>
      <c r="R63" s="388">
        <f t="shared" si="31"/>
        <v>4063100</v>
      </c>
      <c r="S63" s="388">
        <f t="shared" si="31"/>
        <v>1200</v>
      </c>
    </row>
    <row r="64" spans="1:19" s="382" customFormat="1" ht="19.5" customHeight="1" x14ac:dyDescent="0.25">
      <c r="A64" s="399"/>
      <c r="B64" s="401" t="s">
        <v>35</v>
      </c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>
        <v>0</v>
      </c>
      <c r="Q64" s="402">
        <v>0</v>
      </c>
      <c r="R64" s="403">
        <f t="shared" ref="R64:R69" si="32">SUM(F64:Q64)</f>
        <v>0</v>
      </c>
      <c r="S64" s="385">
        <f t="shared" ref="S64:S69" si="33">D64-R64</f>
        <v>0</v>
      </c>
    </row>
    <row r="65" spans="1:19" s="382" customFormat="1" ht="19.5" customHeight="1" x14ac:dyDescent="0.25">
      <c r="A65" s="399"/>
      <c r="B65" s="401" t="s">
        <v>36</v>
      </c>
      <c r="C65" s="402"/>
      <c r="D65" s="402">
        <v>73100</v>
      </c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>
        <v>70100</v>
      </c>
      <c r="P65" s="402">
        <v>0</v>
      </c>
      <c r="Q65" s="402">
        <v>1800</v>
      </c>
      <c r="R65" s="403">
        <f t="shared" si="32"/>
        <v>71900</v>
      </c>
      <c r="S65" s="385">
        <f t="shared" si="33"/>
        <v>1200</v>
      </c>
    </row>
    <row r="66" spans="1:19" s="382" customFormat="1" ht="19.5" customHeight="1" x14ac:dyDescent="0.25">
      <c r="A66" s="399"/>
      <c r="B66" s="401" t="s">
        <v>39</v>
      </c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>
        <v>0</v>
      </c>
      <c r="Q66" s="402">
        <v>0</v>
      </c>
      <c r="R66" s="403">
        <f t="shared" si="32"/>
        <v>0</v>
      </c>
      <c r="S66" s="385">
        <f t="shared" si="33"/>
        <v>0</v>
      </c>
    </row>
    <row r="67" spans="1:19" s="382" customFormat="1" ht="19.5" customHeight="1" x14ac:dyDescent="0.25">
      <c r="A67" s="399"/>
      <c r="B67" s="401" t="s">
        <v>40</v>
      </c>
      <c r="C67" s="402"/>
      <c r="D67" s="402">
        <v>3991200</v>
      </c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>
        <v>3941200</v>
      </c>
      <c r="P67" s="402">
        <v>0</v>
      </c>
      <c r="Q67" s="402">
        <v>50000</v>
      </c>
      <c r="R67" s="403">
        <f t="shared" si="32"/>
        <v>3991200</v>
      </c>
      <c r="S67" s="385">
        <f t="shared" si="33"/>
        <v>0</v>
      </c>
    </row>
    <row r="68" spans="1:19" s="382" customFormat="1" ht="19.5" customHeight="1" x14ac:dyDescent="0.25">
      <c r="A68" s="404"/>
      <c r="B68" s="398" t="s">
        <v>41</v>
      </c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>
        <v>0</v>
      </c>
      <c r="Q68" s="402">
        <v>0</v>
      </c>
      <c r="R68" s="403">
        <f t="shared" si="32"/>
        <v>0</v>
      </c>
      <c r="S68" s="385">
        <f t="shared" si="33"/>
        <v>0</v>
      </c>
    </row>
    <row r="69" spans="1:19" s="382" customFormat="1" ht="19.5" customHeight="1" x14ac:dyDescent="0.25">
      <c r="A69" s="399"/>
      <c r="B69" s="401" t="s">
        <v>43</v>
      </c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>
        <v>0</v>
      </c>
      <c r="Q69" s="402">
        <v>0</v>
      </c>
      <c r="R69" s="403">
        <f t="shared" si="32"/>
        <v>0</v>
      </c>
      <c r="S69" s="385">
        <f t="shared" si="33"/>
        <v>0</v>
      </c>
    </row>
    <row r="70" spans="1:19" s="382" customFormat="1" ht="40.5" customHeight="1" x14ac:dyDescent="0.25">
      <c r="A70" s="398" t="s">
        <v>517</v>
      </c>
      <c r="B70" s="398" t="s">
        <v>518</v>
      </c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3"/>
      <c r="S70" s="385"/>
    </row>
    <row r="71" spans="1:19" s="382" customFormat="1" ht="19.5" customHeight="1" x14ac:dyDescent="0.25">
      <c r="A71" s="399"/>
      <c r="B71" s="400" t="s">
        <v>503</v>
      </c>
      <c r="C71" s="388">
        <f t="shared" ref="C71:S71" si="34">C72+C77+C78</f>
        <v>0</v>
      </c>
      <c r="D71" s="388">
        <f t="shared" si="34"/>
        <v>121012642</v>
      </c>
      <c r="E71" s="388">
        <f t="shared" si="34"/>
        <v>0</v>
      </c>
      <c r="F71" s="388">
        <f t="shared" si="34"/>
        <v>0</v>
      </c>
      <c r="G71" s="388">
        <f t="shared" si="34"/>
        <v>0</v>
      </c>
      <c r="H71" s="388">
        <f t="shared" si="34"/>
        <v>0</v>
      </c>
      <c r="I71" s="388">
        <f t="shared" si="34"/>
        <v>0</v>
      </c>
      <c r="J71" s="388">
        <f t="shared" si="34"/>
        <v>0</v>
      </c>
      <c r="K71" s="388">
        <f t="shared" si="34"/>
        <v>0</v>
      </c>
      <c r="L71" s="388">
        <f t="shared" si="34"/>
        <v>0</v>
      </c>
      <c r="M71" s="388">
        <f t="shared" si="34"/>
        <v>0</v>
      </c>
      <c r="N71" s="388">
        <f t="shared" si="34"/>
        <v>0</v>
      </c>
      <c r="O71" s="388">
        <f t="shared" si="34"/>
        <v>62179748.780000001</v>
      </c>
      <c r="P71" s="388">
        <f t="shared" si="34"/>
        <v>4719026.84</v>
      </c>
      <c r="Q71" s="388">
        <f t="shared" si="34"/>
        <v>54006245.559999987</v>
      </c>
      <c r="R71" s="388">
        <f t="shared" si="34"/>
        <v>120905021.17999999</v>
      </c>
      <c r="S71" s="388">
        <f t="shared" si="34"/>
        <v>107620.82000000705</v>
      </c>
    </row>
    <row r="72" spans="1:19" s="382" customFormat="1" ht="21" customHeight="1" x14ac:dyDescent="0.25">
      <c r="A72" s="398"/>
      <c r="B72" s="400" t="s">
        <v>34</v>
      </c>
      <c r="C72" s="388">
        <f t="shared" ref="C72:S72" si="35">SUM(C73:C76)</f>
        <v>0</v>
      </c>
      <c r="D72" s="388">
        <f t="shared" si="35"/>
        <v>25893095</v>
      </c>
      <c r="E72" s="388">
        <f t="shared" si="35"/>
        <v>0</v>
      </c>
      <c r="F72" s="388">
        <f t="shared" si="35"/>
        <v>0</v>
      </c>
      <c r="G72" s="388">
        <f t="shared" si="35"/>
        <v>0</v>
      </c>
      <c r="H72" s="388">
        <f t="shared" si="35"/>
        <v>0</v>
      </c>
      <c r="I72" s="388">
        <f t="shared" si="35"/>
        <v>0</v>
      </c>
      <c r="J72" s="388">
        <f t="shared" si="35"/>
        <v>0</v>
      </c>
      <c r="K72" s="388">
        <f t="shared" si="35"/>
        <v>0</v>
      </c>
      <c r="L72" s="388">
        <f t="shared" si="35"/>
        <v>0</v>
      </c>
      <c r="M72" s="388">
        <f t="shared" si="35"/>
        <v>0</v>
      </c>
      <c r="N72" s="388">
        <f t="shared" si="35"/>
        <v>0</v>
      </c>
      <c r="O72" s="388">
        <f t="shared" si="35"/>
        <v>20293839.219999999</v>
      </c>
      <c r="P72" s="388">
        <f t="shared" si="35"/>
        <v>2719026.84</v>
      </c>
      <c r="Q72" s="388">
        <f t="shared" si="35"/>
        <v>2772608.129999999</v>
      </c>
      <c r="R72" s="388">
        <f t="shared" si="35"/>
        <v>25785474.189999998</v>
      </c>
      <c r="S72" s="388">
        <f t="shared" si="35"/>
        <v>107620.81000000169</v>
      </c>
    </row>
    <row r="73" spans="1:19" s="382" customFormat="1" ht="19.5" customHeight="1" x14ac:dyDescent="0.25">
      <c r="A73" s="399"/>
      <c r="B73" s="401" t="s">
        <v>35</v>
      </c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>
        <v>0</v>
      </c>
      <c r="Q73" s="402">
        <v>0</v>
      </c>
      <c r="R73" s="403">
        <f t="shared" ref="R73:R78" si="36">SUM(F73:Q73)</f>
        <v>0</v>
      </c>
      <c r="S73" s="385">
        <f t="shared" ref="S73:S78" si="37">D73-R73</f>
        <v>0</v>
      </c>
    </row>
    <row r="74" spans="1:19" s="382" customFormat="1" ht="19.5" customHeight="1" x14ac:dyDescent="0.25">
      <c r="A74" s="399"/>
      <c r="B74" s="401" t="s">
        <v>36</v>
      </c>
      <c r="C74" s="402"/>
      <c r="D74" s="402">
        <v>833095</v>
      </c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>
        <v>571120.61</v>
      </c>
      <c r="P74" s="402">
        <v>34152</v>
      </c>
      <c r="Q74" s="402">
        <v>200563.83999999997</v>
      </c>
      <c r="R74" s="403">
        <f t="shared" si="36"/>
        <v>805836.45</v>
      </c>
      <c r="S74" s="385">
        <f t="shared" si="37"/>
        <v>27258.550000000047</v>
      </c>
    </row>
    <row r="75" spans="1:19" s="382" customFormat="1" ht="19.5" customHeight="1" x14ac:dyDescent="0.25">
      <c r="A75" s="399"/>
      <c r="B75" s="401" t="s">
        <v>39</v>
      </c>
      <c r="C75" s="402"/>
      <c r="D75" s="402">
        <v>2450000</v>
      </c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>
        <v>1606440</v>
      </c>
      <c r="P75" s="402">
        <v>347960</v>
      </c>
      <c r="Q75" s="402">
        <v>491720</v>
      </c>
      <c r="R75" s="403">
        <f t="shared" si="36"/>
        <v>2446120</v>
      </c>
      <c r="S75" s="385">
        <f t="shared" si="37"/>
        <v>3880</v>
      </c>
    </row>
    <row r="76" spans="1:19" s="382" customFormat="1" ht="19.5" customHeight="1" x14ac:dyDescent="0.25">
      <c r="A76" s="399"/>
      <c r="B76" s="401" t="s">
        <v>40</v>
      </c>
      <c r="C76" s="402"/>
      <c r="D76" s="402">
        <v>22610000</v>
      </c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>
        <v>18116278.609999999</v>
      </c>
      <c r="P76" s="402">
        <v>2336914.84</v>
      </c>
      <c r="Q76" s="402">
        <v>2080324.2899999991</v>
      </c>
      <c r="R76" s="403">
        <f t="shared" si="36"/>
        <v>22533517.739999998</v>
      </c>
      <c r="S76" s="385">
        <f t="shared" si="37"/>
        <v>76482.260000001639</v>
      </c>
    </row>
    <row r="77" spans="1:19" s="382" customFormat="1" ht="19.5" customHeight="1" x14ac:dyDescent="0.25">
      <c r="A77" s="404"/>
      <c r="B77" s="398" t="s">
        <v>41</v>
      </c>
      <c r="C77" s="402"/>
      <c r="D77" s="402">
        <v>95119547</v>
      </c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>
        <v>41885909.560000002</v>
      </c>
      <c r="P77" s="402">
        <v>2000000</v>
      </c>
      <c r="Q77" s="402">
        <v>51233637.429999992</v>
      </c>
      <c r="R77" s="403">
        <f t="shared" si="36"/>
        <v>95119546.989999995</v>
      </c>
      <c r="S77" s="385">
        <f t="shared" si="37"/>
        <v>1.000000536441803E-2</v>
      </c>
    </row>
    <row r="78" spans="1:19" s="382" customFormat="1" ht="19.5" customHeight="1" x14ac:dyDescent="0.25">
      <c r="A78" s="399"/>
      <c r="B78" s="401" t="s">
        <v>43</v>
      </c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>
        <v>0</v>
      </c>
      <c r="Q78" s="402">
        <v>0</v>
      </c>
      <c r="R78" s="403">
        <f t="shared" si="36"/>
        <v>0</v>
      </c>
      <c r="S78" s="385">
        <f t="shared" si="37"/>
        <v>0</v>
      </c>
    </row>
    <row r="79" spans="1:19" s="382" customFormat="1" ht="48.75" customHeight="1" x14ac:dyDescent="0.25">
      <c r="A79" s="398" t="s">
        <v>519</v>
      </c>
      <c r="B79" s="398" t="s">
        <v>520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3"/>
      <c r="S79" s="385"/>
    </row>
    <row r="80" spans="1:19" s="382" customFormat="1" ht="19.5" customHeight="1" x14ac:dyDescent="0.25">
      <c r="A80" s="399"/>
      <c r="B80" s="400" t="s">
        <v>503</v>
      </c>
      <c r="C80" s="388">
        <f t="shared" ref="C80:S80" si="38">C81+C86+C87</f>
        <v>0</v>
      </c>
      <c r="D80" s="388">
        <f t="shared" si="38"/>
        <v>85000</v>
      </c>
      <c r="E80" s="388">
        <f t="shared" si="38"/>
        <v>0</v>
      </c>
      <c r="F80" s="388">
        <f t="shared" si="38"/>
        <v>0</v>
      </c>
      <c r="G80" s="388">
        <f t="shared" si="38"/>
        <v>0</v>
      </c>
      <c r="H80" s="388">
        <f t="shared" si="38"/>
        <v>0</v>
      </c>
      <c r="I80" s="388">
        <f t="shared" si="38"/>
        <v>0</v>
      </c>
      <c r="J80" s="388">
        <f t="shared" si="38"/>
        <v>0</v>
      </c>
      <c r="K80" s="388">
        <f t="shared" si="38"/>
        <v>0</v>
      </c>
      <c r="L80" s="388">
        <f t="shared" si="38"/>
        <v>0</v>
      </c>
      <c r="M80" s="388">
        <f t="shared" si="38"/>
        <v>0</v>
      </c>
      <c r="N80" s="388">
        <f t="shared" si="38"/>
        <v>0</v>
      </c>
      <c r="O80" s="388">
        <f t="shared" si="38"/>
        <v>84800</v>
      </c>
      <c r="P80" s="388">
        <f t="shared" si="38"/>
        <v>0</v>
      </c>
      <c r="Q80" s="388">
        <f t="shared" si="38"/>
        <v>0</v>
      </c>
      <c r="R80" s="388">
        <f t="shared" si="38"/>
        <v>84800</v>
      </c>
      <c r="S80" s="388">
        <f t="shared" si="38"/>
        <v>200</v>
      </c>
    </row>
    <row r="81" spans="1:19" s="382" customFormat="1" ht="21" customHeight="1" x14ac:dyDescent="0.25">
      <c r="A81" s="398"/>
      <c r="B81" s="400" t="s">
        <v>34</v>
      </c>
      <c r="C81" s="388">
        <f t="shared" ref="C81:S81" si="39">SUM(C82:C85)</f>
        <v>0</v>
      </c>
      <c r="D81" s="388">
        <f t="shared" si="39"/>
        <v>85000</v>
      </c>
      <c r="E81" s="388">
        <f t="shared" si="39"/>
        <v>0</v>
      </c>
      <c r="F81" s="388">
        <f t="shared" si="39"/>
        <v>0</v>
      </c>
      <c r="G81" s="388">
        <f t="shared" si="39"/>
        <v>0</v>
      </c>
      <c r="H81" s="388">
        <f t="shared" si="39"/>
        <v>0</v>
      </c>
      <c r="I81" s="388">
        <f t="shared" si="39"/>
        <v>0</v>
      </c>
      <c r="J81" s="388">
        <f t="shared" si="39"/>
        <v>0</v>
      </c>
      <c r="K81" s="388">
        <f t="shared" si="39"/>
        <v>0</v>
      </c>
      <c r="L81" s="388">
        <f t="shared" si="39"/>
        <v>0</v>
      </c>
      <c r="M81" s="388">
        <f t="shared" si="39"/>
        <v>0</v>
      </c>
      <c r="N81" s="388">
        <f t="shared" si="39"/>
        <v>0</v>
      </c>
      <c r="O81" s="388">
        <f t="shared" si="39"/>
        <v>84800</v>
      </c>
      <c r="P81" s="388">
        <f t="shared" si="39"/>
        <v>0</v>
      </c>
      <c r="Q81" s="388">
        <f t="shared" si="39"/>
        <v>0</v>
      </c>
      <c r="R81" s="388">
        <f t="shared" si="39"/>
        <v>84800</v>
      </c>
      <c r="S81" s="388">
        <f t="shared" si="39"/>
        <v>200</v>
      </c>
    </row>
    <row r="82" spans="1:19" s="382" customFormat="1" ht="19.5" customHeight="1" x14ac:dyDescent="0.25">
      <c r="A82" s="399"/>
      <c r="B82" s="401" t="s">
        <v>35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>
        <v>0</v>
      </c>
      <c r="Q82" s="402"/>
      <c r="R82" s="403">
        <f t="shared" ref="R82:R87" si="40">SUM(F82:Q82)</f>
        <v>0</v>
      </c>
      <c r="S82" s="385">
        <f t="shared" ref="S82:S87" si="41">D82-R82</f>
        <v>0</v>
      </c>
    </row>
    <row r="83" spans="1:19" s="382" customFormat="1" ht="19.5" customHeight="1" x14ac:dyDescent="0.25">
      <c r="A83" s="399"/>
      <c r="B83" s="401" t="s">
        <v>36</v>
      </c>
      <c r="C83" s="402"/>
      <c r="D83" s="402">
        <v>85000</v>
      </c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>
        <v>84800</v>
      </c>
      <c r="P83" s="402">
        <v>0</v>
      </c>
      <c r="Q83" s="402"/>
      <c r="R83" s="403">
        <f t="shared" si="40"/>
        <v>84800</v>
      </c>
      <c r="S83" s="385">
        <f t="shared" si="41"/>
        <v>200</v>
      </c>
    </row>
    <row r="84" spans="1:19" s="382" customFormat="1" ht="19.5" customHeight="1" x14ac:dyDescent="0.25">
      <c r="A84" s="399"/>
      <c r="B84" s="401" t="s">
        <v>39</v>
      </c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>
        <v>0</v>
      </c>
      <c r="Q84" s="402"/>
      <c r="R84" s="403">
        <f t="shared" si="40"/>
        <v>0</v>
      </c>
      <c r="S84" s="385">
        <f t="shared" si="41"/>
        <v>0</v>
      </c>
    </row>
    <row r="85" spans="1:19" s="382" customFormat="1" ht="19.5" customHeight="1" x14ac:dyDescent="0.25">
      <c r="A85" s="399"/>
      <c r="B85" s="401" t="s">
        <v>40</v>
      </c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>
        <v>0</v>
      </c>
      <c r="Q85" s="402"/>
      <c r="R85" s="403">
        <f t="shared" si="40"/>
        <v>0</v>
      </c>
      <c r="S85" s="385">
        <f t="shared" si="41"/>
        <v>0</v>
      </c>
    </row>
    <row r="86" spans="1:19" s="382" customFormat="1" ht="19.5" customHeight="1" x14ac:dyDescent="0.25">
      <c r="A86" s="404"/>
      <c r="B86" s="398" t="s">
        <v>41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>
        <v>0</v>
      </c>
      <c r="Q86" s="402"/>
      <c r="R86" s="403">
        <f t="shared" si="40"/>
        <v>0</v>
      </c>
      <c r="S86" s="385">
        <f t="shared" si="41"/>
        <v>0</v>
      </c>
    </row>
    <row r="87" spans="1:19" s="382" customFormat="1" ht="19.5" customHeight="1" x14ac:dyDescent="0.25">
      <c r="A87" s="399"/>
      <c r="B87" s="401" t="s">
        <v>43</v>
      </c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>
        <v>0</v>
      </c>
      <c r="Q87" s="402"/>
      <c r="R87" s="403">
        <f t="shared" si="40"/>
        <v>0</v>
      </c>
      <c r="S87" s="385">
        <f t="shared" si="41"/>
        <v>0</v>
      </c>
    </row>
    <row r="88" spans="1:19" s="382" customFormat="1" ht="44.25" customHeight="1" x14ac:dyDescent="0.25">
      <c r="A88" s="398" t="s">
        <v>521</v>
      </c>
      <c r="B88" s="398" t="s">
        <v>522</v>
      </c>
      <c r="C88" s="402"/>
      <c r="D88" s="402"/>
      <c r="E88" s="402"/>
      <c r="F88" s="402"/>
      <c r="G88" s="402"/>
      <c r="H88" s="402"/>
      <c r="I88" s="402"/>
      <c r="J88" s="402"/>
      <c r="K88" s="402"/>
      <c r="L88" s="402"/>
      <c r="M88" s="402"/>
      <c r="N88" s="402"/>
      <c r="O88" s="402"/>
      <c r="P88" s="402"/>
      <c r="Q88" s="402"/>
      <c r="R88" s="403"/>
      <c r="S88" s="385"/>
    </row>
    <row r="89" spans="1:19" s="382" customFormat="1" ht="19.5" customHeight="1" x14ac:dyDescent="0.25">
      <c r="A89" s="399"/>
      <c r="B89" s="400" t="s">
        <v>503</v>
      </c>
      <c r="C89" s="388">
        <f t="shared" ref="C89:S89" si="42">C90+C95+C96</f>
        <v>0</v>
      </c>
      <c r="D89" s="388">
        <f t="shared" si="42"/>
        <v>249998</v>
      </c>
      <c r="E89" s="388">
        <f t="shared" si="42"/>
        <v>0</v>
      </c>
      <c r="F89" s="388">
        <f t="shared" si="42"/>
        <v>0</v>
      </c>
      <c r="G89" s="388">
        <f t="shared" si="42"/>
        <v>0</v>
      </c>
      <c r="H89" s="388">
        <f t="shared" si="42"/>
        <v>0</v>
      </c>
      <c r="I89" s="388">
        <f t="shared" si="42"/>
        <v>0</v>
      </c>
      <c r="J89" s="388">
        <f t="shared" si="42"/>
        <v>0</v>
      </c>
      <c r="K89" s="388">
        <f t="shared" si="42"/>
        <v>0</v>
      </c>
      <c r="L89" s="388">
        <f t="shared" si="42"/>
        <v>0</v>
      </c>
      <c r="M89" s="388">
        <f t="shared" si="42"/>
        <v>0</v>
      </c>
      <c r="N89" s="388">
        <f t="shared" si="42"/>
        <v>0</v>
      </c>
      <c r="O89" s="388">
        <f t="shared" si="42"/>
        <v>159441.38</v>
      </c>
      <c r="P89" s="388">
        <f t="shared" si="42"/>
        <v>29555</v>
      </c>
      <c r="Q89" s="388">
        <f t="shared" si="42"/>
        <v>29826.17</v>
      </c>
      <c r="R89" s="388">
        <f t="shared" si="42"/>
        <v>218822.55000000002</v>
      </c>
      <c r="S89" s="388">
        <f t="shared" si="42"/>
        <v>31175.449999999997</v>
      </c>
    </row>
    <row r="90" spans="1:19" s="382" customFormat="1" ht="19.5" customHeight="1" x14ac:dyDescent="0.25">
      <c r="A90" s="398"/>
      <c r="B90" s="400" t="s">
        <v>34</v>
      </c>
      <c r="C90" s="388">
        <f>SUM(C91:C94)</f>
        <v>0</v>
      </c>
      <c r="D90" s="388">
        <f t="shared" ref="D90:S90" si="43">SUM(D91:D94)</f>
        <v>239022</v>
      </c>
      <c r="E90" s="388">
        <f t="shared" si="43"/>
        <v>0</v>
      </c>
      <c r="F90" s="388">
        <f t="shared" si="43"/>
        <v>0</v>
      </c>
      <c r="G90" s="388">
        <f t="shared" si="43"/>
        <v>0</v>
      </c>
      <c r="H90" s="388">
        <f t="shared" si="43"/>
        <v>0</v>
      </c>
      <c r="I90" s="388">
        <f t="shared" si="43"/>
        <v>0</v>
      </c>
      <c r="J90" s="388">
        <f t="shared" si="43"/>
        <v>0</v>
      </c>
      <c r="K90" s="388">
        <f t="shared" si="43"/>
        <v>0</v>
      </c>
      <c r="L90" s="388">
        <f t="shared" si="43"/>
        <v>0</v>
      </c>
      <c r="M90" s="388">
        <f t="shared" si="43"/>
        <v>0</v>
      </c>
      <c r="N90" s="388">
        <f t="shared" si="43"/>
        <v>0</v>
      </c>
      <c r="O90" s="388">
        <f t="shared" si="43"/>
        <v>148465.38</v>
      </c>
      <c r="P90" s="388">
        <f t="shared" si="43"/>
        <v>29555</v>
      </c>
      <c r="Q90" s="388">
        <f t="shared" si="43"/>
        <v>29826.17</v>
      </c>
      <c r="R90" s="388">
        <f t="shared" si="43"/>
        <v>207846.55000000002</v>
      </c>
      <c r="S90" s="388">
        <f t="shared" si="43"/>
        <v>31175.449999999997</v>
      </c>
    </row>
    <row r="91" spans="1:19" s="382" customFormat="1" ht="19.5" customHeight="1" x14ac:dyDescent="0.25">
      <c r="A91" s="399"/>
      <c r="B91" s="401" t="s">
        <v>35</v>
      </c>
      <c r="C91" s="402"/>
      <c r="D91" s="402"/>
      <c r="E91" s="402"/>
      <c r="F91" s="402"/>
      <c r="G91" s="402"/>
      <c r="H91" s="402"/>
      <c r="I91" s="402"/>
      <c r="J91" s="402"/>
      <c r="K91" s="402"/>
      <c r="L91" s="402"/>
      <c r="M91" s="402"/>
      <c r="N91" s="402"/>
      <c r="O91" s="402"/>
      <c r="P91" s="402">
        <v>0</v>
      </c>
      <c r="Q91" s="402">
        <v>0</v>
      </c>
      <c r="R91" s="403">
        <f t="shared" ref="R91:R96" si="44">SUM(F91:Q91)</f>
        <v>0</v>
      </c>
      <c r="S91" s="385">
        <f t="shared" ref="S91:S96" si="45">D91-R91</f>
        <v>0</v>
      </c>
    </row>
    <row r="92" spans="1:19" s="382" customFormat="1" ht="19.5" customHeight="1" x14ac:dyDescent="0.25">
      <c r="A92" s="399"/>
      <c r="B92" s="401" t="s">
        <v>36</v>
      </c>
      <c r="C92" s="402"/>
      <c r="D92" s="402">
        <v>237987</v>
      </c>
      <c r="E92" s="402"/>
      <c r="F92" s="402"/>
      <c r="G92" s="402"/>
      <c r="H92" s="402"/>
      <c r="I92" s="402"/>
      <c r="J92" s="402"/>
      <c r="K92" s="402"/>
      <c r="L92" s="402"/>
      <c r="M92" s="402"/>
      <c r="N92" s="402"/>
      <c r="O92" s="402">
        <v>148465.38</v>
      </c>
      <c r="P92" s="402">
        <v>29555</v>
      </c>
      <c r="Q92" s="402">
        <v>28792</v>
      </c>
      <c r="R92" s="403">
        <f t="shared" si="44"/>
        <v>206812.38</v>
      </c>
      <c r="S92" s="385">
        <f t="shared" si="45"/>
        <v>31174.619999999995</v>
      </c>
    </row>
    <row r="93" spans="1:19" s="382" customFormat="1" ht="19.5" customHeight="1" x14ac:dyDescent="0.25">
      <c r="A93" s="399"/>
      <c r="B93" s="401" t="s">
        <v>39</v>
      </c>
      <c r="C93" s="402"/>
      <c r="D93" s="402">
        <v>1035</v>
      </c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>
        <v>0</v>
      </c>
      <c r="Q93" s="402">
        <v>1034.17</v>
      </c>
      <c r="R93" s="403">
        <f t="shared" si="44"/>
        <v>1034.17</v>
      </c>
      <c r="S93" s="385">
        <f t="shared" si="45"/>
        <v>0.82999999999992724</v>
      </c>
    </row>
    <row r="94" spans="1:19" s="382" customFormat="1" ht="19.5" customHeight="1" x14ac:dyDescent="0.25">
      <c r="A94" s="399"/>
      <c r="B94" s="401" t="s">
        <v>40</v>
      </c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2"/>
      <c r="P94" s="402">
        <v>0</v>
      </c>
      <c r="Q94" s="402">
        <v>0</v>
      </c>
      <c r="R94" s="403">
        <f t="shared" si="44"/>
        <v>0</v>
      </c>
      <c r="S94" s="385">
        <f t="shared" si="45"/>
        <v>0</v>
      </c>
    </row>
    <row r="95" spans="1:19" s="382" customFormat="1" ht="19.5" customHeight="1" x14ac:dyDescent="0.25">
      <c r="A95" s="404"/>
      <c r="B95" s="398" t="s">
        <v>41</v>
      </c>
      <c r="C95" s="402"/>
      <c r="D95" s="402">
        <v>10976</v>
      </c>
      <c r="E95" s="402"/>
      <c r="F95" s="402"/>
      <c r="G95" s="402"/>
      <c r="H95" s="402"/>
      <c r="I95" s="402"/>
      <c r="J95" s="402"/>
      <c r="K95" s="402"/>
      <c r="L95" s="402"/>
      <c r="M95" s="402"/>
      <c r="N95" s="402"/>
      <c r="O95" s="402">
        <v>10976</v>
      </c>
      <c r="P95" s="402">
        <v>0</v>
      </c>
      <c r="Q95" s="402">
        <v>0</v>
      </c>
      <c r="R95" s="403">
        <f t="shared" si="44"/>
        <v>10976</v>
      </c>
      <c r="S95" s="385">
        <f t="shared" si="45"/>
        <v>0</v>
      </c>
    </row>
    <row r="96" spans="1:19" s="382" customFormat="1" ht="19.5" customHeight="1" x14ac:dyDescent="0.25">
      <c r="A96" s="399"/>
      <c r="B96" s="401" t="s">
        <v>43</v>
      </c>
      <c r="C96" s="402"/>
      <c r="D96" s="402"/>
      <c r="E96" s="402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>
        <v>0</v>
      </c>
      <c r="Q96" s="402">
        <v>0</v>
      </c>
      <c r="R96" s="403">
        <f t="shared" si="44"/>
        <v>0</v>
      </c>
      <c r="S96" s="385">
        <f t="shared" si="45"/>
        <v>0</v>
      </c>
    </row>
    <row r="97" spans="1:19" ht="34.5" customHeight="1" x14ac:dyDescent="0.2">
      <c r="A97" s="405" t="s">
        <v>523</v>
      </c>
      <c r="B97" s="406" t="s">
        <v>524</v>
      </c>
      <c r="C97" s="407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  <c r="O97" s="407"/>
      <c r="P97" s="407"/>
      <c r="Q97" s="407"/>
      <c r="R97" s="407"/>
      <c r="S97" s="407"/>
    </row>
    <row r="98" spans="1:19" ht="19.5" customHeight="1" x14ac:dyDescent="0.2">
      <c r="A98" s="408"/>
      <c r="B98" s="409" t="s">
        <v>503</v>
      </c>
      <c r="C98" s="410">
        <f t="shared" ref="C98:S98" si="46">C99+C105+C106</f>
        <v>21000000</v>
      </c>
      <c r="D98" s="410">
        <f t="shared" si="46"/>
        <v>21702120</v>
      </c>
      <c r="E98" s="410">
        <f t="shared" si="46"/>
        <v>0</v>
      </c>
      <c r="F98" s="410">
        <f t="shared" si="46"/>
        <v>1622113.65</v>
      </c>
      <c r="G98" s="410">
        <f t="shared" si="46"/>
        <v>1711425.1299999997</v>
      </c>
      <c r="H98" s="410">
        <f t="shared" si="46"/>
        <v>1624782.4000000004</v>
      </c>
      <c r="I98" s="410">
        <f t="shared" si="46"/>
        <v>1659069.5899999992</v>
      </c>
      <c r="J98" s="410">
        <f t="shared" si="46"/>
        <v>1590403.4300000004</v>
      </c>
      <c r="K98" s="410">
        <f t="shared" si="46"/>
        <v>1622228.48</v>
      </c>
      <c r="L98" s="410">
        <f t="shared" si="46"/>
        <v>1627689.290000001</v>
      </c>
      <c r="M98" s="410">
        <f t="shared" si="46"/>
        <v>1554808.3299999989</v>
      </c>
      <c r="N98" s="410">
        <f t="shared" si="46"/>
        <v>1584728.3499999999</v>
      </c>
      <c r="O98" s="410">
        <f t="shared" si="46"/>
        <v>1787634.4299999995</v>
      </c>
      <c r="P98" s="410">
        <f t="shared" si="46"/>
        <v>1669001.2300000014</v>
      </c>
      <c r="Q98" s="410">
        <f t="shared" si="46"/>
        <v>3557879.51</v>
      </c>
      <c r="R98" s="410">
        <f t="shared" si="46"/>
        <v>21611763.82</v>
      </c>
      <c r="S98" s="410">
        <f t="shared" si="46"/>
        <v>90356.179999999615</v>
      </c>
    </row>
    <row r="99" spans="1:19" ht="19.5" customHeight="1" x14ac:dyDescent="0.2">
      <c r="A99" s="408"/>
      <c r="B99" s="409" t="s">
        <v>34</v>
      </c>
      <c r="C99" s="410">
        <f>SUM(C100:C104)</f>
        <v>20700000</v>
      </c>
      <c r="D99" s="410">
        <f t="shared" ref="D99:S99" si="47">SUM(D100:D104)</f>
        <v>20734432</v>
      </c>
      <c r="E99" s="410">
        <f t="shared" si="47"/>
        <v>0</v>
      </c>
      <c r="F99" s="410">
        <f t="shared" si="47"/>
        <v>1619056.65</v>
      </c>
      <c r="G99" s="410">
        <f t="shared" si="47"/>
        <v>1711375.1299999997</v>
      </c>
      <c r="H99" s="410">
        <f t="shared" si="47"/>
        <v>1604671.5900000003</v>
      </c>
      <c r="I99" s="410">
        <f t="shared" si="47"/>
        <v>1659007.6499999992</v>
      </c>
      <c r="J99" s="410">
        <f t="shared" si="47"/>
        <v>1584288.4300000004</v>
      </c>
      <c r="K99" s="410">
        <f t="shared" si="47"/>
        <v>1621565.1099999999</v>
      </c>
      <c r="L99" s="410">
        <f t="shared" si="47"/>
        <v>1621662.290000001</v>
      </c>
      <c r="M99" s="410">
        <f t="shared" si="47"/>
        <v>1554808.3299999989</v>
      </c>
      <c r="N99" s="410">
        <f t="shared" si="47"/>
        <v>1584728.3499999999</v>
      </c>
      <c r="O99" s="410">
        <f t="shared" si="47"/>
        <v>1710372.9599999995</v>
      </c>
      <c r="P99" s="410">
        <f t="shared" si="47"/>
        <v>1634134.9900000014</v>
      </c>
      <c r="Q99" s="410">
        <f t="shared" si="47"/>
        <v>2813961.2399999998</v>
      </c>
      <c r="R99" s="410">
        <f t="shared" si="47"/>
        <v>20719632.719999999</v>
      </c>
      <c r="S99" s="410">
        <f t="shared" si="47"/>
        <v>14799.279999999586</v>
      </c>
    </row>
    <row r="100" spans="1:19" ht="19.5" customHeight="1" x14ac:dyDescent="0.2">
      <c r="A100" s="408"/>
      <c r="B100" s="409" t="s">
        <v>35</v>
      </c>
      <c r="C100" s="411">
        <f>C110</f>
        <v>16230000</v>
      </c>
      <c r="D100" s="411">
        <f>D110</f>
        <v>16162800</v>
      </c>
      <c r="E100" s="411">
        <f t="shared" ref="E100:S100" si="48">E110</f>
        <v>0</v>
      </c>
      <c r="F100" s="411">
        <f t="shared" si="48"/>
        <v>1236223.3500000001</v>
      </c>
      <c r="G100" s="411">
        <f t="shared" si="48"/>
        <v>1282397.4899999998</v>
      </c>
      <c r="H100" s="411">
        <f t="shared" si="48"/>
        <v>1270649.8200000003</v>
      </c>
      <c r="I100" s="411">
        <f t="shared" si="48"/>
        <v>1272633.6499999994</v>
      </c>
      <c r="J100" s="411">
        <f t="shared" si="48"/>
        <v>1263632.1800000006</v>
      </c>
      <c r="K100" s="411">
        <f t="shared" si="48"/>
        <v>1261411.5499999998</v>
      </c>
      <c r="L100" s="411">
        <f t="shared" si="48"/>
        <v>1304072.8400000008</v>
      </c>
      <c r="M100" s="411">
        <f t="shared" si="48"/>
        <v>1245706.3699999992</v>
      </c>
      <c r="N100" s="411">
        <f t="shared" si="48"/>
        <v>1231902.0899999999</v>
      </c>
      <c r="O100" s="411">
        <f t="shared" si="48"/>
        <v>1263996.0199999996</v>
      </c>
      <c r="P100" s="411">
        <f t="shared" si="48"/>
        <v>1258935.5300000012</v>
      </c>
      <c r="Q100" s="411">
        <f t="shared" si="48"/>
        <v>2269796.8499999996</v>
      </c>
      <c r="R100" s="411">
        <f t="shared" si="48"/>
        <v>16161357.74</v>
      </c>
      <c r="S100" s="411">
        <f t="shared" si="48"/>
        <v>1442.2599999997765</v>
      </c>
    </row>
    <row r="101" spans="1:19" ht="19.5" customHeight="1" x14ac:dyDescent="0.2">
      <c r="A101" s="408"/>
      <c r="B101" s="409" t="s">
        <v>36</v>
      </c>
      <c r="C101" s="411">
        <f>C111+C120+C126+C132+C138+C144+C150+C156+C162+C168+C174</f>
        <v>4321000</v>
      </c>
      <c r="D101" s="411">
        <f>D111+D120+D126+D132+D138+D144+D150+D156+D162+D168+D174</f>
        <v>4259300</v>
      </c>
      <c r="E101" s="411">
        <f t="shared" ref="E101:S101" si="49">E111+E120+E126+E132+E138+E144+E150+E156+E162+E168+E174</f>
        <v>0</v>
      </c>
      <c r="F101" s="411">
        <f t="shared" si="49"/>
        <v>374189.35999999993</v>
      </c>
      <c r="G101" s="411">
        <f t="shared" si="49"/>
        <v>364662</v>
      </c>
      <c r="H101" s="411">
        <f t="shared" si="49"/>
        <v>311874.95</v>
      </c>
      <c r="I101" s="411">
        <f t="shared" si="49"/>
        <v>363426.63</v>
      </c>
      <c r="J101" s="411">
        <f t="shared" si="49"/>
        <v>290118.17999999982</v>
      </c>
      <c r="K101" s="411">
        <f t="shared" si="49"/>
        <v>338889.01</v>
      </c>
      <c r="L101" s="411">
        <f t="shared" si="49"/>
        <v>299393.24000000011</v>
      </c>
      <c r="M101" s="411">
        <f t="shared" si="49"/>
        <v>295772.44999999984</v>
      </c>
      <c r="N101" s="411">
        <f t="shared" si="49"/>
        <v>331101.26</v>
      </c>
      <c r="O101" s="411">
        <f t="shared" si="49"/>
        <v>421428.85</v>
      </c>
      <c r="P101" s="411">
        <f t="shared" si="49"/>
        <v>347364.97000000026</v>
      </c>
      <c r="Q101" s="411">
        <f t="shared" si="49"/>
        <v>517425.18</v>
      </c>
      <c r="R101" s="411">
        <f t="shared" si="49"/>
        <v>4255646.0799999991</v>
      </c>
      <c r="S101" s="411">
        <f t="shared" si="49"/>
        <v>3653.9199999998127</v>
      </c>
    </row>
    <row r="102" spans="1:19" ht="19.5" customHeight="1" x14ac:dyDescent="0.2">
      <c r="A102" s="408"/>
      <c r="B102" s="409" t="s">
        <v>525</v>
      </c>
      <c r="C102" s="411">
        <f t="shared" ref="C102:S102" si="50">C112</f>
        <v>3000</v>
      </c>
      <c r="D102" s="411">
        <f t="shared" si="50"/>
        <v>39200</v>
      </c>
      <c r="E102" s="411">
        <f t="shared" si="50"/>
        <v>0</v>
      </c>
      <c r="F102" s="411">
        <f t="shared" si="50"/>
        <v>0</v>
      </c>
      <c r="G102" s="411">
        <f t="shared" si="50"/>
        <v>39168</v>
      </c>
      <c r="H102" s="411">
        <f t="shared" si="50"/>
        <v>0</v>
      </c>
      <c r="I102" s="411">
        <f t="shared" si="50"/>
        <v>0</v>
      </c>
      <c r="J102" s="411">
        <f t="shared" si="50"/>
        <v>0</v>
      </c>
      <c r="K102" s="411">
        <f t="shared" si="50"/>
        <v>0</v>
      </c>
      <c r="L102" s="411">
        <f t="shared" si="50"/>
        <v>0</v>
      </c>
      <c r="M102" s="411">
        <f t="shared" si="50"/>
        <v>0</v>
      </c>
      <c r="N102" s="411">
        <f t="shared" si="50"/>
        <v>0</v>
      </c>
      <c r="O102" s="411">
        <f t="shared" si="50"/>
        <v>0</v>
      </c>
      <c r="P102" s="411">
        <f t="shared" si="50"/>
        <v>0</v>
      </c>
      <c r="Q102" s="411">
        <f t="shared" si="50"/>
        <v>0</v>
      </c>
      <c r="R102" s="411">
        <f t="shared" si="50"/>
        <v>39168</v>
      </c>
      <c r="S102" s="411">
        <f t="shared" si="50"/>
        <v>32</v>
      </c>
    </row>
    <row r="103" spans="1:19" ht="19.5" customHeight="1" x14ac:dyDescent="0.2">
      <c r="A103" s="408"/>
      <c r="B103" s="409" t="s">
        <v>39</v>
      </c>
      <c r="C103" s="411">
        <f t="shared" ref="C103:S103" si="51">C113+C121+C127+C133+C145+C151+C157+C163+C169+C175+C139</f>
        <v>99000</v>
      </c>
      <c r="D103" s="411">
        <f t="shared" si="51"/>
        <v>210000</v>
      </c>
      <c r="E103" s="411">
        <f t="shared" si="51"/>
        <v>0</v>
      </c>
      <c r="F103" s="411">
        <f t="shared" si="51"/>
        <v>7969.88</v>
      </c>
      <c r="G103" s="411">
        <f t="shared" si="51"/>
        <v>21228.5</v>
      </c>
      <c r="H103" s="411">
        <f t="shared" si="51"/>
        <v>19101.84</v>
      </c>
      <c r="I103" s="411">
        <f t="shared" si="51"/>
        <v>14789.89</v>
      </c>
      <c r="J103" s="411">
        <f t="shared" si="51"/>
        <v>26551.740000000005</v>
      </c>
      <c r="K103" s="411">
        <f t="shared" si="51"/>
        <v>17976.189999999988</v>
      </c>
      <c r="L103" s="411">
        <f t="shared" si="51"/>
        <v>14339.420000000013</v>
      </c>
      <c r="M103" s="411">
        <f t="shared" si="51"/>
        <v>10171.64</v>
      </c>
      <c r="N103" s="411">
        <f t="shared" si="51"/>
        <v>14669.100000000006</v>
      </c>
      <c r="O103" s="411">
        <f t="shared" si="51"/>
        <v>20822.919999999984</v>
      </c>
      <c r="P103" s="411">
        <f t="shared" si="51"/>
        <v>20997.830000000016</v>
      </c>
      <c r="Q103" s="411">
        <f t="shared" si="51"/>
        <v>17886.549999999988</v>
      </c>
      <c r="R103" s="411">
        <f t="shared" si="51"/>
        <v>206505.5</v>
      </c>
      <c r="S103" s="411">
        <f t="shared" si="51"/>
        <v>3494.5</v>
      </c>
    </row>
    <row r="104" spans="1:19" ht="19.5" customHeight="1" x14ac:dyDescent="0.2">
      <c r="A104" s="408"/>
      <c r="B104" s="409" t="s">
        <v>40</v>
      </c>
      <c r="C104" s="411">
        <f t="shared" ref="C104:S104" si="52">C114+C122+C128+C134+C140+C146+C152+C158+C164+C170+C176</f>
        <v>47000</v>
      </c>
      <c r="D104" s="411">
        <f t="shared" si="52"/>
        <v>63132</v>
      </c>
      <c r="E104" s="411">
        <f t="shared" si="52"/>
        <v>0</v>
      </c>
      <c r="F104" s="411">
        <f t="shared" si="52"/>
        <v>674.06</v>
      </c>
      <c r="G104" s="411">
        <f t="shared" si="52"/>
        <v>3919.1400000000003</v>
      </c>
      <c r="H104" s="411">
        <f t="shared" si="52"/>
        <v>3044.9799999999996</v>
      </c>
      <c r="I104" s="411">
        <f t="shared" si="52"/>
        <v>8157.4800000000005</v>
      </c>
      <c r="J104" s="411">
        <f t="shared" si="52"/>
        <v>3986.3299999999995</v>
      </c>
      <c r="K104" s="411">
        <f t="shared" si="52"/>
        <v>3288.3599999999988</v>
      </c>
      <c r="L104" s="411">
        <f t="shared" si="52"/>
        <v>3856.7900000000004</v>
      </c>
      <c r="M104" s="411">
        <f t="shared" si="52"/>
        <v>3157.8700000000017</v>
      </c>
      <c r="N104" s="411">
        <f t="shared" si="52"/>
        <v>7055.8999999999987</v>
      </c>
      <c r="O104" s="411">
        <f t="shared" si="52"/>
        <v>4125.1699999999992</v>
      </c>
      <c r="P104" s="411">
        <f t="shared" si="52"/>
        <v>6836.6600000000035</v>
      </c>
      <c r="Q104" s="411">
        <f t="shared" si="52"/>
        <v>8852.66</v>
      </c>
      <c r="R104" s="411">
        <f t="shared" si="52"/>
        <v>56955.4</v>
      </c>
      <c r="S104" s="411">
        <f t="shared" si="52"/>
        <v>6176.5999999999967</v>
      </c>
    </row>
    <row r="105" spans="1:19" s="382" customFormat="1" ht="19.5" customHeight="1" x14ac:dyDescent="0.25">
      <c r="A105" s="412"/>
      <c r="B105" s="406" t="s">
        <v>41</v>
      </c>
      <c r="C105" s="410">
        <f t="shared" ref="C105:S106" si="53">C115</f>
        <v>300000</v>
      </c>
      <c r="D105" s="410">
        <f t="shared" si="53"/>
        <v>967688</v>
      </c>
      <c r="E105" s="410">
        <f t="shared" si="53"/>
        <v>0</v>
      </c>
      <c r="F105" s="410">
        <f t="shared" si="53"/>
        <v>3057</v>
      </c>
      <c r="G105" s="410">
        <f t="shared" si="53"/>
        <v>50</v>
      </c>
      <c r="H105" s="410">
        <f t="shared" si="53"/>
        <v>20110.810000000001</v>
      </c>
      <c r="I105" s="410">
        <f t="shared" si="53"/>
        <v>61.93999999999869</v>
      </c>
      <c r="J105" s="410">
        <f t="shared" si="53"/>
        <v>6115</v>
      </c>
      <c r="K105" s="410">
        <f t="shared" si="53"/>
        <v>663.36999999999898</v>
      </c>
      <c r="L105" s="410">
        <f t="shared" si="53"/>
        <v>6027.0000000000036</v>
      </c>
      <c r="M105" s="410">
        <f t="shared" si="53"/>
        <v>0</v>
      </c>
      <c r="N105" s="410">
        <f t="shared" si="53"/>
        <v>0</v>
      </c>
      <c r="O105" s="410">
        <f t="shared" si="53"/>
        <v>77261.47</v>
      </c>
      <c r="P105" s="410">
        <f t="shared" si="53"/>
        <v>34866.239999999991</v>
      </c>
      <c r="Q105" s="410">
        <f t="shared" si="53"/>
        <v>743918.27</v>
      </c>
      <c r="R105" s="410">
        <f t="shared" si="53"/>
        <v>892131.1</v>
      </c>
      <c r="S105" s="410">
        <f t="shared" si="53"/>
        <v>75556.900000000023</v>
      </c>
    </row>
    <row r="106" spans="1:19" s="382" customFormat="1" ht="19.5" customHeight="1" x14ac:dyDescent="0.25">
      <c r="A106" s="412"/>
      <c r="B106" s="406" t="s">
        <v>43</v>
      </c>
      <c r="C106" s="407">
        <f t="shared" si="53"/>
        <v>0</v>
      </c>
      <c r="D106" s="407">
        <f t="shared" si="53"/>
        <v>0</v>
      </c>
      <c r="E106" s="407">
        <f t="shared" si="53"/>
        <v>0</v>
      </c>
      <c r="F106" s="407">
        <f t="shared" si="53"/>
        <v>0</v>
      </c>
      <c r="G106" s="407">
        <f t="shared" si="53"/>
        <v>0</v>
      </c>
      <c r="H106" s="407">
        <f t="shared" si="53"/>
        <v>0</v>
      </c>
      <c r="I106" s="407">
        <f t="shared" si="53"/>
        <v>0</v>
      </c>
      <c r="J106" s="407">
        <f t="shared" si="53"/>
        <v>0</v>
      </c>
      <c r="K106" s="407">
        <f t="shared" si="53"/>
        <v>0</v>
      </c>
      <c r="L106" s="407">
        <f t="shared" si="53"/>
        <v>0</v>
      </c>
      <c r="M106" s="407">
        <f t="shared" si="53"/>
        <v>0</v>
      </c>
      <c r="N106" s="407">
        <f t="shared" si="53"/>
        <v>0</v>
      </c>
      <c r="O106" s="407">
        <f t="shared" si="53"/>
        <v>0</v>
      </c>
      <c r="P106" s="407">
        <f t="shared" si="53"/>
        <v>0</v>
      </c>
      <c r="Q106" s="407">
        <f t="shared" si="53"/>
        <v>0</v>
      </c>
      <c r="R106" s="407">
        <f t="shared" si="53"/>
        <v>0</v>
      </c>
      <c r="S106" s="407">
        <f t="shared" si="53"/>
        <v>0</v>
      </c>
    </row>
    <row r="107" spans="1:19" ht="43.5" customHeight="1" x14ac:dyDescent="0.2">
      <c r="A107" s="413" t="s">
        <v>526</v>
      </c>
      <c r="B107" s="414" t="s">
        <v>527</v>
      </c>
      <c r="C107" s="381"/>
      <c r="D107" s="381"/>
      <c r="E107" s="415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415"/>
      <c r="S107" s="415"/>
    </row>
    <row r="108" spans="1:19" ht="19.5" customHeight="1" x14ac:dyDescent="0.2">
      <c r="A108" s="383"/>
      <c r="B108" s="400" t="s">
        <v>503</v>
      </c>
      <c r="C108" s="416">
        <f>C109+C115</f>
        <v>20467000</v>
      </c>
      <c r="D108" s="416">
        <f>D109+D115</f>
        <v>21174790</v>
      </c>
      <c r="E108" s="416">
        <f>E109+E115+E116</f>
        <v>0</v>
      </c>
      <c r="F108" s="416">
        <f>F109+F115+F116</f>
        <v>1575329.9</v>
      </c>
      <c r="G108" s="416">
        <f t="shared" ref="G108:S108" si="54">G109+G115+G116</f>
        <v>1641551.72</v>
      </c>
      <c r="H108" s="416">
        <f t="shared" si="54"/>
        <v>1559046.4300000004</v>
      </c>
      <c r="I108" s="416">
        <f t="shared" si="54"/>
        <v>1598742.4499999993</v>
      </c>
      <c r="J108" s="416">
        <f t="shared" si="54"/>
        <v>1549297.5000000005</v>
      </c>
      <c r="K108" s="416">
        <f t="shared" si="54"/>
        <v>1594930.06</v>
      </c>
      <c r="L108" s="416">
        <f t="shared" si="54"/>
        <v>1600799.2600000007</v>
      </c>
      <c r="M108" s="416">
        <f t="shared" si="54"/>
        <v>1521361.1299999987</v>
      </c>
      <c r="N108" s="416">
        <f t="shared" si="54"/>
        <v>1550679.37</v>
      </c>
      <c r="O108" s="416">
        <f t="shared" si="54"/>
        <v>1729203.0699999996</v>
      </c>
      <c r="P108" s="416">
        <f t="shared" si="54"/>
        <v>1637730.7600000016</v>
      </c>
      <c r="Q108" s="416">
        <f t="shared" si="54"/>
        <v>3528430.0299999993</v>
      </c>
      <c r="R108" s="416">
        <f t="shared" si="54"/>
        <v>21087101.680000003</v>
      </c>
      <c r="S108" s="416">
        <f t="shared" si="54"/>
        <v>87688.3199999996</v>
      </c>
    </row>
    <row r="109" spans="1:19" ht="20.25" customHeight="1" x14ac:dyDescent="0.2">
      <c r="A109" s="383"/>
      <c r="B109" s="400" t="s">
        <v>34</v>
      </c>
      <c r="C109" s="417">
        <f>C110+C111+C112+C113+C114</f>
        <v>20167000</v>
      </c>
      <c r="D109" s="417">
        <f>D110+D111+D112+D113+D114</f>
        <v>20207102</v>
      </c>
      <c r="E109" s="417">
        <f>E110+E111+E112+E113+E114</f>
        <v>0</v>
      </c>
      <c r="F109" s="417">
        <f t="shared" ref="F109:S109" si="55">F110+F111+F112+F113+F114</f>
        <v>1572272.9</v>
      </c>
      <c r="G109" s="417">
        <f t="shared" si="55"/>
        <v>1641501.72</v>
      </c>
      <c r="H109" s="417">
        <f t="shared" si="55"/>
        <v>1538935.6200000003</v>
      </c>
      <c r="I109" s="417">
        <f t="shared" si="55"/>
        <v>1598680.5099999993</v>
      </c>
      <c r="J109" s="417">
        <f t="shared" si="55"/>
        <v>1543182.5000000005</v>
      </c>
      <c r="K109" s="417">
        <f t="shared" si="55"/>
        <v>1594266.69</v>
      </c>
      <c r="L109" s="417">
        <f t="shared" si="55"/>
        <v>1594772.2600000007</v>
      </c>
      <c r="M109" s="417">
        <f t="shared" si="55"/>
        <v>1521361.1299999987</v>
      </c>
      <c r="N109" s="417">
        <f t="shared" si="55"/>
        <v>1550679.37</v>
      </c>
      <c r="O109" s="417">
        <f t="shared" si="55"/>
        <v>1651941.5999999996</v>
      </c>
      <c r="P109" s="417">
        <f t="shared" si="55"/>
        <v>1602864.5200000016</v>
      </c>
      <c r="Q109" s="417">
        <f t="shared" si="55"/>
        <v>2784511.7599999993</v>
      </c>
      <c r="R109" s="417">
        <f t="shared" si="55"/>
        <v>20194970.580000002</v>
      </c>
      <c r="S109" s="417">
        <f t="shared" si="55"/>
        <v>12131.419999999569</v>
      </c>
    </row>
    <row r="110" spans="1:19" ht="19.5" customHeight="1" x14ac:dyDescent="0.2">
      <c r="A110" s="383"/>
      <c r="B110" s="400" t="s">
        <v>35</v>
      </c>
      <c r="C110" s="385">
        <v>16230000</v>
      </c>
      <c r="D110" s="385">
        <v>16162800</v>
      </c>
      <c r="E110" s="403"/>
      <c r="F110" s="403">
        <v>1236223.3500000001</v>
      </c>
      <c r="G110" s="403">
        <v>1282397.4899999998</v>
      </c>
      <c r="H110" s="403">
        <v>1270649.8200000003</v>
      </c>
      <c r="I110" s="403">
        <v>1272633.6499999994</v>
      </c>
      <c r="J110" s="403">
        <v>1263632.1800000006</v>
      </c>
      <c r="K110" s="403">
        <v>1261411.5499999998</v>
      </c>
      <c r="L110" s="403">
        <v>1304072.8400000008</v>
      </c>
      <c r="M110" s="403">
        <v>1245706.3699999992</v>
      </c>
      <c r="N110" s="403">
        <v>1231902.0899999999</v>
      </c>
      <c r="O110" s="403">
        <v>1263996.0199999996</v>
      </c>
      <c r="P110" s="403">
        <v>1258935.5300000012</v>
      </c>
      <c r="Q110" s="403">
        <v>2269796.8499999996</v>
      </c>
      <c r="R110" s="403">
        <f t="shared" ref="R110:R116" si="56">SUM(F110:Q110)</f>
        <v>16161357.74</v>
      </c>
      <c r="S110" s="385">
        <f t="shared" ref="S110:S116" si="57">D110-R110</f>
        <v>1442.2599999997765</v>
      </c>
    </row>
    <row r="111" spans="1:19" ht="19.5" customHeight="1" x14ac:dyDescent="0.2">
      <c r="A111" s="383"/>
      <c r="B111" s="400" t="s">
        <v>36</v>
      </c>
      <c r="C111" s="385">
        <v>3800000</v>
      </c>
      <c r="D111" s="385">
        <v>3745100</v>
      </c>
      <c r="E111" s="403"/>
      <c r="F111" s="403">
        <v>327493.27</v>
      </c>
      <c r="G111" s="403">
        <v>296118.37</v>
      </c>
      <c r="H111" s="403">
        <v>247260.86</v>
      </c>
      <c r="I111" s="403">
        <v>303877.57000000007</v>
      </c>
      <c r="J111" s="403">
        <v>250053.59999999986</v>
      </c>
      <c r="K111" s="403">
        <v>312693.59000000008</v>
      </c>
      <c r="L111" s="403">
        <v>273699.80000000005</v>
      </c>
      <c r="M111" s="403">
        <v>263532.21999999974</v>
      </c>
      <c r="N111" s="403">
        <v>298093.06000000006</v>
      </c>
      <c r="O111" s="403">
        <v>364088.04000000004</v>
      </c>
      <c r="P111" s="403">
        <v>317614.59000000032</v>
      </c>
      <c r="Q111" s="403">
        <v>489175.25</v>
      </c>
      <c r="R111" s="403">
        <f t="shared" si="56"/>
        <v>3743700.22</v>
      </c>
      <c r="S111" s="385">
        <f t="shared" si="57"/>
        <v>1399.7799999997951</v>
      </c>
    </row>
    <row r="112" spans="1:19" ht="19.5" customHeight="1" x14ac:dyDescent="0.2">
      <c r="A112" s="383"/>
      <c r="B112" s="400" t="s">
        <v>28</v>
      </c>
      <c r="C112" s="385">
        <v>3000</v>
      </c>
      <c r="D112" s="385">
        <v>39200</v>
      </c>
      <c r="E112" s="403"/>
      <c r="F112" s="403"/>
      <c r="G112" s="403">
        <v>39168</v>
      </c>
      <c r="H112" s="403">
        <v>0</v>
      </c>
      <c r="I112" s="403">
        <v>0</v>
      </c>
      <c r="J112" s="403">
        <v>0</v>
      </c>
      <c r="K112" s="403">
        <v>0</v>
      </c>
      <c r="L112" s="403">
        <v>0</v>
      </c>
      <c r="M112" s="403">
        <v>0</v>
      </c>
      <c r="N112" s="403">
        <v>0</v>
      </c>
      <c r="O112" s="403">
        <v>0</v>
      </c>
      <c r="P112" s="403">
        <v>0</v>
      </c>
      <c r="Q112" s="403">
        <v>0</v>
      </c>
      <c r="R112" s="403">
        <f t="shared" si="56"/>
        <v>39168</v>
      </c>
      <c r="S112" s="385">
        <f t="shared" si="57"/>
        <v>32</v>
      </c>
    </row>
    <row r="113" spans="1:19" ht="20.25" customHeight="1" x14ac:dyDescent="0.2">
      <c r="A113" s="383"/>
      <c r="B113" s="400" t="s">
        <v>39</v>
      </c>
      <c r="C113" s="385">
        <v>99000</v>
      </c>
      <c r="D113" s="385">
        <v>210000</v>
      </c>
      <c r="E113" s="403"/>
      <c r="F113" s="403">
        <v>7969.88</v>
      </c>
      <c r="G113" s="403">
        <v>21228.5</v>
      </c>
      <c r="H113" s="403">
        <v>19101.84</v>
      </c>
      <c r="I113" s="403">
        <v>14789.89</v>
      </c>
      <c r="J113" s="403">
        <v>26551.740000000005</v>
      </c>
      <c r="K113" s="403">
        <v>17976.189999999988</v>
      </c>
      <c r="L113" s="403">
        <v>14339.420000000013</v>
      </c>
      <c r="M113" s="403">
        <v>10171.64</v>
      </c>
      <c r="N113" s="403">
        <v>14669.100000000006</v>
      </c>
      <c r="O113" s="403">
        <v>20822.919999999984</v>
      </c>
      <c r="P113" s="403">
        <v>20997.830000000016</v>
      </c>
      <c r="Q113" s="403">
        <v>17886.549999999988</v>
      </c>
      <c r="R113" s="403">
        <f t="shared" si="56"/>
        <v>206505.5</v>
      </c>
      <c r="S113" s="385">
        <f t="shared" si="57"/>
        <v>3494.5</v>
      </c>
    </row>
    <row r="114" spans="1:19" ht="19.5" customHeight="1" x14ac:dyDescent="0.2">
      <c r="A114" s="383"/>
      <c r="B114" s="400" t="s">
        <v>40</v>
      </c>
      <c r="C114" s="385">
        <v>35000</v>
      </c>
      <c r="D114" s="385">
        <v>50002</v>
      </c>
      <c r="E114" s="385"/>
      <c r="F114" s="385">
        <v>586.4</v>
      </c>
      <c r="G114" s="385">
        <v>2589.36</v>
      </c>
      <c r="H114" s="385">
        <v>1923.0999999999995</v>
      </c>
      <c r="I114" s="385">
        <v>7379.4000000000005</v>
      </c>
      <c r="J114" s="385">
        <v>2944.9799999999996</v>
      </c>
      <c r="K114" s="385">
        <v>2185.3599999999988</v>
      </c>
      <c r="L114" s="385">
        <v>2660.2000000000007</v>
      </c>
      <c r="M114" s="385">
        <v>1950.9000000000015</v>
      </c>
      <c r="N114" s="385">
        <v>6015.119999999999</v>
      </c>
      <c r="O114" s="385">
        <v>3034.619999999999</v>
      </c>
      <c r="P114" s="385">
        <v>5316.5700000000033</v>
      </c>
      <c r="Q114" s="385">
        <v>7653.1100000000006</v>
      </c>
      <c r="R114" s="403">
        <f>SUM(F114:Q114)</f>
        <v>44239.12</v>
      </c>
      <c r="S114" s="385">
        <f t="shared" si="57"/>
        <v>5762.8799999999974</v>
      </c>
    </row>
    <row r="115" spans="1:19" s="382" customFormat="1" ht="19.5" customHeight="1" x14ac:dyDescent="0.25">
      <c r="A115" s="379"/>
      <c r="B115" s="414" t="s">
        <v>41</v>
      </c>
      <c r="C115" s="381">
        <v>300000</v>
      </c>
      <c r="D115" s="381">
        <v>967688</v>
      </c>
      <c r="E115" s="415"/>
      <c r="F115" s="418">
        <v>3057</v>
      </c>
      <c r="G115" s="418">
        <v>50</v>
      </c>
      <c r="H115" s="418">
        <v>20110.810000000001</v>
      </c>
      <c r="I115" s="418">
        <v>61.93999999999869</v>
      </c>
      <c r="J115" s="418">
        <v>6115</v>
      </c>
      <c r="K115" s="418">
        <v>663.36999999999898</v>
      </c>
      <c r="L115" s="418">
        <v>6027.0000000000036</v>
      </c>
      <c r="M115" s="418">
        <v>0</v>
      </c>
      <c r="N115" s="418">
        <v>0</v>
      </c>
      <c r="O115" s="418">
        <v>77261.47</v>
      </c>
      <c r="P115" s="418">
        <v>34866.239999999991</v>
      </c>
      <c r="Q115" s="418">
        <v>743918.27</v>
      </c>
      <c r="R115" s="418">
        <f t="shared" si="56"/>
        <v>892131.1</v>
      </c>
      <c r="S115" s="385">
        <f t="shared" si="57"/>
        <v>75556.900000000023</v>
      </c>
    </row>
    <row r="116" spans="1:19" ht="19.5" customHeight="1" x14ac:dyDescent="0.2">
      <c r="A116" s="383"/>
      <c r="B116" s="400" t="s">
        <v>43</v>
      </c>
      <c r="C116" s="385"/>
      <c r="D116" s="385"/>
      <c r="E116" s="415"/>
      <c r="F116" s="415"/>
      <c r="G116" s="415">
        <v>0</v>
      </c>
      <c r="H116" s="415">
        <v>0</v>
      </c>
      <c r="I116" s="415">
        <v>0</v>
      </c>
      <c r="J116" s="415">
        <v>0</v>
      </c>
      <c r="K116" s="415">
        <v>0</v>
      </c>
      <c r="L116" s="415">
        <v>0</v>
      </c>
      <c r="M116" s="415">
        <v>0</v>
      </c>
      <c r="N116" s="415">
        <v>0</v>
      </c>
      <c r="O116" s="415">
        <v>0</v>
      </c>
      <c r="P116" s="415">
        <v>0</v>
      </c>
      <c r="Q116" s="415">
        <v>0</v>
      </c>
      <c r="R116" s="415">
        <f t="shared" si="56"/>
        <v>0</v>
      </c>
      <c r="S116" s="385">
        <f t="shared" si="57"/>
        <v>0</v>
      </c>
    </row>
    <row r="117" spans="1:19" ht="48.75" customHeight="1" x14ac:dyDescent="0.2">
      <c r="A117" s="413" t="s">
        <v>528</v>
      </c>
      <c r="B117" s="414" t="s">
        <v>529</v>
      </c>
      <c r="C117" s="419"/>
      <c r="D117" s="419"/>
      <c r="E117" s="415"/>
      <c r="F117" s="415"/>
      <c r="G117" s="415"/>
      <c r="H117" s="415"/>
      <c r="I117" s="415"/>
      <c r="J117" s="415"/>
      <c r="K117" s="415"/>
      <c r="L117" s="415"/>
      <c r="M117" s="415"/>
      <c r="N117" s="415"/>
      <c r="O117" s="415"/>
      <c r="P117" s="415"/>
      <c r="Q117" s="415"/>
      <c r="R117" s="415"/>
      <c r="S117" s="415"/>
    </row>
    <row r="118" spans="1:19" ht="19.5" customHeight="1" x14ac:dyDescent="0.2">
      <c r="A118" s="383"/>
      <c r="B118" s="400" t="s">
        <v>503</v>
      </c>
      <c r="C118" s="416">
        <f t="shared" ref="C118:S118" si="58">C119</f>
        <v>101000</v>
      </c>
      <c r="D118" s="416">
        <f t="shared" si="58"/>
        <v>96000</v>
      </c>
      <c r="E118" s="416">
        <f t="shared" si="58"/>
        <v>0</v>
      </c>
      <c r="F118" s="416">
        <f t="shared" si="58"/>
        <v>1535.54</v>
      </c>
      <c r="G118" s="416">
        <f t="shared" si="58"/>
        <v>12775.710000000001</v>
      </c>
      <c r="H118" s="416">
        <f t="shared" si="58"/>
        <v>12702.669999999996</v>
      </c>
      <c r="I118" s="416">
        <f t="shared" si="58"/>
        <v>10277.370000000003</v>
      </c>
      <c r="J118" s="416">
        <f t="shared" si="58"/>
        <v>7785.5899999999965</v>
      </c>
      <c r="K118" s="416">
        <f t="shared" si="58"/>
        <v>5162.1600000000017</v>
      </c>
      <c r="L118" s="416">
        <f t="shared" si="58"/>
        <v>5350.1800000000021</v>
      </c>
      <c r="M118" s="416">
        <f t="shared" si="58"/>
        <v>7619.8899999999976</v>
      </c>
      <c r="N118" s="416">
        <f t="shared" si="58"/>
        <v>6160.7900000000009</v>
      </c>
      <c r="O118" s="416">
        <f t="shared" si="58"/>
        <v>9734.5500000000029</v>
      </c>
      <c r="P118" s="416">
        <f t="shared" si="58"/>
        <v>7358.8699999999953</v>
      </c>
      <c r="Q118" s="416">
        <f t="shared" si="58"/>
        <v>9492.1899999999969</v>
      </c>
      <c r="R118" s="416">
        <f t="shared" si="58"/>
        <v>95955.51</v>
      </c>
      <c r="S118" s="416">
        <f t="shared" si="58"/>
        <v>44.490000000005239</v>
      </c>
    </row>
    <row r="119" spans="1:19" ht="19.5" customHeight="1" x14ac:dyDescent="0.2">
      <c r="A119" s="383"/>
      <c r="B119" s="400" t="s">
        <v>34</v>
      </c>
      <c r="C119" s="417">
        <f t="shared" ref="C119:S119" si="59">C120+C121+C122</f>
        <v>101000</v>
      </c>
      <c r="D119" s="417">
        <f t="shared" si="59"/>
        <v>96000</v>
      </c>
      <c r="E119" s="417">
        <f t="shared" si="59"/>
        <v>0</v>
      </c>
      <c r="F119" s="417">
        <f t="shared" si="59"/>
        <v>1535.54</v>
      </c>
      <c r="G119" s="417">
        <f t="shared" si="59"/>
        <v>12775.710000000001</v>
      </c>
      <c r="H119" s="417">
        <f t="shared" si="59"/>
        <v>12702.669999999996</v>
      </c>
      <c r="I119" s="417">
        <f t="shared" si="59"/>
        <v>10277.370000000003</v>
      </c>
      <c r="J119" s="417">
        <f t="shared" si="59"/>
        <v>7785.5899999999965</v>
      </c>
      <c r="K119" s="417">
        <f t="shared" si="59"/>
        <v>5162.1600000000017</v>
      </c>
      <c r="L119" s="417">
        <f t="shared" si="59"/>
        <v>5350.1800000000021</v>
      </c>
      <c r="M119" s="417">
        <f t="shared" si="59"/>
        <v>7619.8899999999976</v>
      </c>
      <c r="N119" s="417">
        <f t="shared" si="59"/>
        <v>6160.7900000000009</v>
      </c>
      <c r="O119" s="417">
        <f t="shared" si="59"/>
        <v>9734.5500000000029</v>
      </c>
      <c r="P119" s="417">
        <f t="shared" si="59"/>
        <v>7358.8699999999953</v>
      </c>
      <c r="Q119" s="417">
        <f t="shared" si="59"/>
        <v>9492.1899999999969</v>
      </c>
      <c r="R119" s="417">
        <f t="shared" si="59"/>
        <v>95955.51</v>
      </c>
      <c r="S119" s="417">
        <f t="shared" si="59"/>
        <v>44.490000000005239</v>
      </c>
    </row>
    <row r="120" spans="1:19" ht="19.5" customHeight="1" x14ac:dyDescent="0.2">
      <c r="A120" s="383"/>
      <c r="B120" s="400" t="s">
        <v>36</v>
      </c>
      <c r="C120" s="385">
        <v>100000</v>
      </c>
      <c r="D120" s="385">
        <v>94500</v>
      </c>
      <c r="E120" s="403"/>
      <c r="F120" s="403">
        <v>1535.54</v>
      </c>
      <c r="G120" s="403">
        <v>12688.61</v>
      </c>
      <c r="H120" s="403">
        <v>12450.769999999997</v>
      </c>
      <c r="I120" s="403">
        <v>10165.870000000003</v>
      </c>
      <c r="J120" s="403">
        <v>7693.0899999999965</v>
      </c>
      <c r="K120" s="403">
        <v>5079.760000000002</v>
      </c>
      <c r="L120" s="403">
        <v>5232.0800000000017</v>
      </c>
      <c r="M120" s="403">
        <v>7465.989999999998</v>
      </c>
      <c r="N120" s="403">
        <v>6039.2900000000009</v>
      </c>
      <c r="O120" s="403">
        <v>9613.0500000000029</v>
      </c>
      <c r="P120" s="403">
        <v>7237.3699999999953</v>
      </c>
      <c r="Q120" s="403">
        <v>9296.5899999999965</v>
      </c>
      <c r="R120" s="403">
        <f>SUM(F120:Q120)</f>
        <v>94498.01</v>
      </c>
      <c r="S120" s="385">
        <f>D120-R120</f>
        <v>1.9900000000052387</v>
      </c>
    </row>
    <row r="121" spans="1:19" ht="19.5" customHeight="1" x14ac:dyDescent="0.2">
      <c r="A121" s="383"/>
      <c r="B121" s="400" t="s">
        <v>39</v>
      </c>
      <c r="C121" s="385"/>
      <c r="D121" s="385"/>
      <c r="E121" s="403"/>
      <c r="F121" s="403"/>
      <c r="G121" s="403">
        <v>0</v>
      </c>
      <c r="H121" s="403">
        <v>0</v>
      </c>
      <c r="I121" s="403">
        <v>0</v>
      </c>
      <c r="J121" s="403">
        <v>0</v>
      </c>
      <c r="K121" s="403">
        <v>0</v>
      </c>
      <c r="L121" s="403">
        <v>0</v>
      </c>
      <c r="M121" s="403">
        <v>0</v>
      </c>
      <c r="N121" s="403">
        <v>0</v>
      </c>
      <c r="O121" s="403">
        <v>0</v>
      </c>
      <c r="P121" s="403">
        <v>0</v>
      </c>
      <c r="Q121" s="403">
        <v>0</v>
      </c>
      <c r="R121" s="403">
        <f>SUM(F121:Q121)</f>
        <v>0</v>
      </c>
      <c r="S121" s="385">
        <f>D121-R121</f>
        <v>0</v>
      </c>
    </row>
    <row r="122" spans="1:19" ht="19.5" customHeight="1" x14ac:dyDescent="0.2">
      <c r="A122" s="383"/>
      <c r="B122" s="400" t="s">
        <v>40</v>
      </c>
      <c r="C122" s="385">
        <v>1000</v>
      </c>
      <c r="D122" s="385">
        <v>1500</v>
      </c>
      <c r="E122" s="403"/>
      <c r="F122" s="403"/>
      <c r="G122" s="403">
        <v>87.1</v>
      </c>
      <c r="H122" s="403">
        <v>251.9</v>
      </c>
      <c r="I122" s="403">
        <v>111.5</v>
      </c>
      <c r="J122" s="403">
        <v>92.5</v>
      </c>
      <c r="K122" s="403">
        <v>82.399999999999977</v>
      </c>
      <c r="L122" s="403">
        <v>118.10000000000002</v>
      </c>
      <c r="M122" s="403">
        <v>153.89999999999998</v>
      </c>
      <c r="N122" s="403">
        <v>121.5</v>
      </c>
      <c r="O122" s="403">
        <v>121.50000000000011</v>
      </c>
      <c r="P122" s="403">
        <v>121.5</v>
      </c>
      <c r="Q122" s="403">
        <v>195.59999999999991</v>
      </c>
      <c r="R122" s="403">
        <f>SUM(F122:Q122)</f>
        <v>1457.5</v>
      </c>
      <c r="S122" s="385">
        <f>D122-R122</f>
        <v>42.5</v>
      </c>
    </row>
    <row r="123" spans="1:19" ht="45" customHeight="1" x14ac:dyDescent="0.2">
      <c r="A123" s="413" t="s">
        <v>530</v>
      </c>
      <c r="B123" s="414" t="s">
        <v>531</v>
      </c>
      <c r="C123" s="419"/>
      <c r="D123" s="419"/>
      <c r="E123" s="403"/>
      <c r="F123" s="403"/>
      <c r="G123" s="403"/>
      <c r="H123" s="403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</row>
    <row r="124" spans="1:19" ht="19.5" customHeight="1" x14ac:dyDescent="0.2">
      <c r="A124" s="383"/>
      <c r="B124" s="400" t="s">
        <v>503</v>
      </c>
      <c r="C124" s="416">
        <f t="shared" ref="C124:S124" si="60">C125</f>
        <v>80000</v>
      </c>
      <c r="D124" s="416">
        <f t="shared" si="60"/>
        <v>82830</v>
      </c>
      <c r="E124" s="416">
        <f t="shared" si="60"/>
        <v>0</v>
      </c>
      <c r="F124" s="416">
        <f t="shared" si="60"/>
        <v>9096.56</v>
      </c>
      <c r="G124" s="416">
        <f t="shared" si="60"/>
        <v>9714.51</v>
      </c>
      <c r="H124" s="416">
        <f t="shared" si="60"/>
        <v>11363.55</v>
      </c>
      <c r="I124" s="416">
        <f t="shared" si="60"/>
        <v>9290.8500000000022</v>
      </c>
      <c r="J124" s="416">
        <f t="shared" si="60"/>
        <v>8537.7299999999959</v>
      </c>
      <c r="K124" s="416">
        <f t="shared" si="60"/>
        <v>2987.4900000000052</v>
      </c>
      <c r="L124" s="416">
        <f t="shared" si="60"/>
        <v>3076.5199999999968</v>
      </c>
      <c r="M124" s="416">
        <f t="shared" si="60"/>
        <v>6116.0299999999988</v>
      </c>
      <c r="N124" s="416">
        <f t="shared" si="60"/>
        <v>4686.510000000002</v>
      </c>
      <c r="O124" s="416">
        <f t="shared" si="60"/>
        <v>17766.479999999996</v>
      </c>
      <c r="P124" s="416">
        <f t="shared" si="60"/>
        <v>40</v>
      </c>
      <c r="Q124" s="416">
        <f t="shared" si="60"/>
        <v>93.600000000000023</v>
      </c>
      <c r="R124" s="416">
        <f t="shared" si="60"/>
        <v>82769.83</v>
      </c>
      <c r="S124" s="416">
        <f t="shared" si="60"/>
        <v>60.170000000004052</v>
      </c>
    </row>
    <row r="125" spans="1:19" ht="19.5" customHeight="1" x14ac:dyDescent="0.2">
      <c r="A125" s="383"/>
      <c r="B125" s="400" t="s">
        <v>34</v>
      </c>
      <c r="C125" s="417">
        <f t="shared" ref="C125:S125" si="61">C126+C127+C128</f>
        <v>80000</v>
      </c>
      <c r="D125" s="417">
        <f t="shared" si="61"/>
        <v>82830</v>
      </c>
      <c r="E125" s="417">
        <f t="shared" si="61"/>
        <v>0</v>
      </c>
      <c r="F125" s="417">
        <f t="shared" si="61"/>
        <v>9096.56</v>
      </c>
      <c r="G125" s="417">
        <f t="shared" si="61"/>
        <v>9714.51</v>
      </c>
      <c r="H125" s="417">
        <f t="shared" si="61"/>
        <v>11363.55</v>
      </c>
      <c r="I125" s="417">
        <f t="shared" si="61"/>
        <v>9290.8500000000022</v>
      </c>
      <c r="J125" s="417">
        <f t="shared" si="61"/>
        <v>8537.7299999999959</v>
      </c>
      <c r="K125" s="417">
        <f t="shared" si="61"/>
        <v>2987.4900000000052</v>
      </c>
      <c r="L125" s="417">
        <f t="shared" si="61"/>
        <v>3076.5199999999968</v>
      </c>
      <c r="M125" s="417">
        <f t="shared" si="61"/>
        <v>6116.0299999999988</v>
      </c>
      <c r="N125" s="417">
        <f t="shared" si="61"/>
        <v>4686.510000000002</v>
      </c>
      <c r="O125" s="417">
        <f t="shared" si="61"/>
        <v>17766.479999999996</v>
      </c>
      <c r="P125" s="417">
        <f t="shared" si="61"/>
        <v>40</v>
      </c>
      <c r="Q125" s="417">
        <f t="shared" si="61"/>
        <v>93.600000000000023</v>
      </c>
      <c r="R125" s="417">
        <f t="shared" si="61"/>
        <v>82769.83</v>
      </c>
      <c r="S125" s="417">
        <f t="shared" si="61"/>
        <v>60.170000000004052</v>
      </c>
    </row>
    <row r="126" spans="1:19" ht="19.5" customHeight="1" x14ac:dyDescent="0.2">
      <c r="A126" s="383"/>
      <c r="B126" s="400" t="s">
        <v>36</v>
      </c>
      <c r="C126" s="385">
        <v>79000</v>
      </c>
      <c r="D126" s="385">
        <v>82500</v>
      </c>
      <c r="E126" s="403"/>
      <c r="F126" s="403">
        <v>9096.56</v>
      </c>
      <c r="G126" s="403">
        <v>9714.51</v>
      </c>
      <c r="H126" s="403">
        <v>11363.55</v>
      </c>
      <c r="I126" s="403">
        <v>9290.8500000000022</v>
      </c>
      <c r="J126" s="403">
        <v>8537.7299999999959</v>
      </c>
      <c r="K126" s="403">
        <v>2987.4900000000052</v>
      </c>
      <c r="L126" s="403">
        <v>3076.5199999999968</v>
      </c>
      <c r="M126" s="403">
        <v>6116.0299999999988</v>
      </c>
      <c r="N126" s="403">
        <v>4646.510000000002</v>
      </c>
      <c r="O126" s="403">
        <v>17658.479999999996</v>
      </c>
      <c r="P126" s="403">
        <v>0</v>
      </c>
      <c r="Q126" s="403">
        <v>0</v>
      </c>
      <c r="R126" s="403">
        <f>SUM(F126:Q126)</f>
        <v>82488.23</v>
      </c>
      <c r="S126" s="385">
        <f>D126-R126</f>
        <v>11.770000000004075</v>
      </c>
    </row>
    <row r="127" spans="1:19" ht="19.5" customHeight="1" x14ac:dyDescent="0.2">
      <c r="A127" s="383"/>
      <c r="B127" s="400" t="s">
        <v>39</v>
      </c>
      <c r="C127" s="385"/>
      <c r="D127" s="385"/>
      <c r="E127" s="403"/>
      <c r="F127" s="403"/>
      <c r="G127" s="403">
        <v>0</v>
      </c>
      <c r="H127" s="403">
        <v>0</v>
      </c>
      <c r="I127" s="403">
        <v>0</v>
      </c>
      <c r="J127" s="403">
        <v>0</v>
      </c>
      <c r="K127" s="403">
        <v>0</v>
      </c>
      <c r="L127" s="403">
        <v>0</v>
      </c>
      <c r="M127" s="403">
        <v>0</v>
      </c>
      <c r="N127" s="403">
        <v>0</v>
      </c>
      <c r="O127" s="403">
        <v>0</v>
      </c>
      <c r="P127" s="403">
        <v>0</v>
      </c>
      <c r="Q127" s="403">
        <v>0</v>
      </c>
      <c r="R127" s="403">
        <f>SUM(F127:Q127)</f>
        <v>0</v>
      </c>
      <c r="S127" s="385">
        <f>D127-R127</f>
        <v>0</v>
      </c>
    </row>
    <row r="128" spans="1:19" ht="19.5" customHeight="1" x14ac:dyDescent="0.2">
      <c r="A128" s="383"/>
      <c r="B128" s="400" t="s">
        <v>40</v>
      </c>
      <c r="C128" s="385">
        <v>1000</v>
      </c>
      <c r="D128" s="385">
        <v>330</v>
      </c>
      <c r="E128" s="403"/>
      <c r="F128" s="403"/>
      <c r="G128" s="403">
        <v>0</v>
      </c>
      <c r="H128" s="403">
        <v>0</v>
      </c>
      <c r="I128" s="403">
        <v>0</v>
      </c>
      <c r="J128" s="403">
        <v>0</v>
      </c>
      <c r="K128" s="403">
        <v>0</v>
      </c>
      <c r="L128" s="403">
        <v>0</v>
      </c>
      <c r="M128" s="403">
        <v>0</v>
      </c>
      <c r="N128" s="403">
        <v>40</v>
      </c>
      <c r="O128" s="403">
        <v>108</v>
      </c>
      <c r="P128" s="403">
        <v>40</v>
      </c>
      <c r="Q128" s="403">
        <v>93.600000000000023</v>
      </c>
      <c r="R128" s="403">
        <f>SUM(F128:Q128)</f>
        <v>281.60000000000002</v>
      </c>
      <c r="S128" s="385">
        <f>D128-R128</f>
        <v>48.399999999999977</v>
      </c>
    </row>
    <row r="129" spans="1:19" ht="57" customHeight="1" x14ac:dyDescent="0.2">
      <c r="A129" s="413" t="s">
        <v>532</v>
      </c>
      <c r="B129" s="414" t="s">
        <v>533</v>
      </c>
      <c r="C129" s="419"/>
      <c r="D129" s="419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</row>
    <row r="130" spans="1:19" ht="19.5" customHeight="1" x14ac:dyDescent="0.2">
      <c r="A130" s="383"/>
      <c r="B130" s="400" t="s">
        <v>503</v>
      </c>
      <c r="C130" s="416">
        <f t="shared" ref="C130:S130" si="62">C131</f>
        <v>80000</v>
      </c>
      <c r="D130" s="416">
        <f t="shared" si="62"/>
        <v>70100</v>
      </c>
      <c r="E130" s="416">
        <f t="shared" si="62"/>
        <v>0</v>
      </c>
      <c r="F130" s="416">
        <f t="shared" si="62"/>
        <v>9820.1200000000008</v>
      </c>
      <c r="G130" s="416">
        <f t="shared" si="62"/>
        <v>9242.8700000000008</v>
      </c>
      <c r="H130" s="416">
        <f t="shared" si="62"/>
        <v>8804.0199999999968</v>
      </c>
      <c r="I130" s="416">
        <f t="shared" si="62"/>
        <v>7343.380000000001</v>
      </c>
      <c r="J130" s="416">
        <f t="shared" si="62"/>
        <v>4609.6500000000015</v>
      </c>
      <c r="K130" s="416">
        <f t="shared" si="62"/>
        <v>4180.9599999999991</v>
      </c>
      <c r="L130" s="416">
        <f t="shared" si="62"/>
        <v>3673.1600000000035</v>
      </c>
      <c r="M130" s="416">
        <f t="shared" si="62"/>
        <v>3937.0599999999977</v>
      </c>
      <c r="N130" s="416">
        <f t="shared" si="62"/>
        <v>3325.6900000000023</v>
      </c>
      <c r="O130" s="416">
        <f t="shared" si="62"/>
        <v>2419.7199999999939</v>
      </c>
      <c r="P130" s="416">
        <f t="shared" si="62"/>
        <v>3902.8199999999997</v>
      </c>
      <c r="Q130" s="416">
        <f t="shared" si="62"/>
        <v>7375.8099999999977</v>
      </c>
      <c r="R130" s="416">
        <f t="shared" si="62"/>
        <v>68635.259999999995</v>
      </c>
      <c r="S130" s="416">
        <f t="shared" si="62"/>
        <v>1464.7400000000052</v>
      </c>
    </row>
    <row r="131" spans="1:19" ht="19.5" customHeight="1" x14ac:dyDescent="0.2">
      <c r="A131" s="383"/>
      <c r="B131" s="400" t="s">
        <v>34</v>
      </c>
      <c r="C131" s="417">
        <f t="shared" ref="C131:S131" si="63">C134+C133+C132</f>
        <v>80000</v>
      </c>
      <c r="D131" s="417">
        <f t="shared" si="63"/>
        <v>70100</v>
      </c>
      <c r="E131" s="417">
        <f t="shared" si="63"/>
        <v>0</v>
      </c>
      <c r="F131" s="417">
        <f t="shared" si="63"/>
        <v>9820.1200000000008</v>
      </c>
      <c r="G131" s="417">
        <f t="shared" si="63"/>
        <v>9242.8700000000008</v>
      </c>
      <c r="H131" s="417">
        <f t="shared" si="63"/>
        <v>8804.0199999999968</v>
      </c>
      <c r="I131" s="417">
        <f t="shared" si="63"/>
        <v>7343.380000000001</v>
      </c>
      <c r="J131" s="417">
        <f t="shared" si="63"/>
        <v>4609.6500000000015</v>
      </c>
      <c r="K131" s="417">
        <f t="shared" si="63"/>
        <v>4180.9599999999991</v>
      </c>
      <c r="L131" s="417">
        <f t="shared" si="63"/>
        <v>3673.1600000000035</v>
      </c>
      <c r="M131" s="417">
        <f t="shared" si="63"/>
        <v>3937.0599999999977</v>
      </c>
      <c r="N131" s="417">
        <f t="shared" si="63"/>
        <v>3325.6900000000023</v>
      </c>
      <c r="O131" s="417">
        <f t="shared" si="63"/>
        <v>2419.7199999999939</v>
      </c>
      <c r="P131" s="417">
        <f t="shared" si="63"/>
        <v>3902.8199999999997</v>
      </c>
      <c r="Q131" s="417">
        <f t="shared" si="63"/>
        <v>7375.8099999999977</v>
      </c>
      <c r="R131" s="417">
        <f t="shared" si="63"/>
        <v>68635.259999999995</v>
      </c>
      <c r="S131" s="417">
        <f t="shared" si="63"/>
        <v>1464.7400000000052</v>
      </c>
    </row>
    <row r="132" spans="1:19" ht="19.5" customHeight="1" x14ac:dyDescent="0.2">
      <c r="A132" s="383"/>
      <c r="B132" s="400" t="s">
        <v>36</v>
      </c>
      <c r="C132" s="385">
        <v>80000</v>
      </c>
      <c r="D132" s="385">
        <v>70100</v>
      </c>
      <c r="E132" s="403"/>
      <c r="F132" s="403">
        <v>9820.1200000000008</v>
      </c>
      <c r="G132" s="403">
        <v>9242.8700000000008</v>
      </c>
      <c r="H132" s="403">
        <v>8804.0199999999968</v>
      </c>
      <c r="I132" s="403">
        <v>7343.380000000001</v>
      </c>
      <c r="J132" s="403">
        <v>4609.6500000000015</v>
      </c>
      <c r="K132" s="403">
        <v>4180.9599999999991</v>
      </c>
      <c r="L132" s="403">
        <v>3673.1600000000035</v>
      </c>
      <c r="M132" s="403">
        <v>3937.0599999999977</v>
      </c>
      <c r="N132" s="403">
        <v>3325.6900000000023</v>
      </c>
      <c r="O132" s="403">
        <v>2419.7199999999939</v>
      </c>
      <c r="P132" s="403">
        <v>3902.8199999999997</v>
      </c>
      <c r="Q132" s="403">
        <v>7375.8099999999977</v>
      </c>
      <c r="R132" s="403">
        <f>SUM(F132:Q132)</f>
        <v>68635.259999999995</v>
      </c>
      <c r="S132" s="385">
        <f>D132-R132</f>
        <v>1464.7400000000052</v>
      </c>
    </row>
    <row r="133" spans="1:19" ht="19.5" customHeight="1" x14ac:dyDescent="0.2">
      <c r="A133" s="383"/>
      <c r="B133" s="400" t="s">
        <v>39</v>
      </c>
      <c r="C133" s="385"/>
      <c r="D133" s="385"/>
      <c r="E133" s="403"/>
      <c r="F133" s="403"/>
      <c r="G133" s="403">
        <v>0</v>
      </c>
      <c r="H133" s="403">
        <v>0</v>
      </c>
      <c r="I133" s="403">
        <v>0</v>
      </c>
      <c r="J133" s="403">
        <v>0</v>
      </c>
      <c r="K133" s="403">
        <v>0</v>
      </c>
      <c r="L133" s="403">
        <v>0</v>
      </c>
      <c r="M133" s="403">
        <v>0</v>
      </c>
      <c r="N133" s="403">
        <v>0</v>
      </c>
      <c r="O133" s="403">
        <v>0</v>
      </c>
      <c r="P133" s="403">
        <v>0</v>
      </c>
      <c r="Q133" s="403">
        <v>0</v>
      </c>
      <c r="R133" s="403">
        <f>SUM(F133:Q133)</f>
        <v>0</v>
      </c>
      <c r="S133" s="385">
        <f>D133-R133</f>
        <v>0</v>
      </c>
    </row>
    <row r="134" spans="1:19" ht="19.5" customHeight="1" x14ac:dyDescent="0.2">
      <c r="A134" s="383"/>
      <c r="B134" s="400" t="s">
        <v>40</v>
      </c>
      <c r="C134" s="385"/>
      <c r="D134" s="385"/>
      <c r="E134" s="403"/>
      <c r="F134" s="403"/>
      <c r="G134" s="403">
        <v>0</v>
      </c>
      <c r="H134" s="403">
        <v>0</v>
      </c>
      <c r="I134" s="403">
        <v>0</v>
      </c>
      <c r="J134" s="403">
        <v>0</v>
      </c>
      <c r="K134" s="403">
        <v>0</v>
      </c>
      <c r="L134" s="403">
        <v>0</v>
      </c>
      <c r="M134" s="403">
        <v>0</v>
      </c>
      <c r="N134" s="403">
        <v>0</v>
      </c>
      <c r="O134" s="403">
        <v>0</v>
      </c>
      <c r="P134" s="403">
        <v>0</v>
      </c>
      <c r="Q134" s="403">
        <v>0</v>
      </c>
      <c r="R134" s="403">
        <f>SUM(F134:Q134)</f>
        <v>0</v>
      </c>
      <c r="S134" s="385">
        <f>D134-R134</f>
        <v>0</v>
      </c>
    </row>
    <row r="135" spans="1:19" ht="56.25" customHeight="1" x14ac:dyDescent="0.2">
      <c r="A135" s="413" t="s">
        <v>534</v>
      </c>
      <c r="B135" s="414" t="s">
        <v>535</v>
      </c>
      <c r="C135" s="419"/>
      <c r="D135" s="419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</row>
    <row r="136" spans="1:19" ht="19.5" customHeight="1" x14ac:dyDescent="0.2">
      <c r="A136" s="383"/>
      <c r="B136" s="400" t="s">
        <v>503</v>
      </c>
      <c r="C136" s="416">
        <f t="shared" ref="C136:S136" si="64">C137</f>
        <v>47000</v>
      </c>
      <c r="D136" s="416">
        <f t="shared" si="64"/>
        <v>41100</v>
      </c>
      <c r="E136" s="416">
        <f t="shared" si="64"/>
        <v>0</v>
      </c>
      <c r="F136" s="416">
        <f t="shared" si="64"/>
        <v>4724.55</v>
      </c>
      <c r="G136" s="416">
        <f t="shared" si="64"/>
        <v>5440.1699999999992</v>
      </c>
      <c r="H136" s="416">
        <f t="shared" si="64"/>
        <v>5114.6200000000008</v>
      </c>
      <c r="I136" s="416">
        <f t="shared" si="64"/>
        <v>4870.1200000000008</v>
      </c>
      <c r="J136" s="416">
        <f t="shared" si="64"/>
        <v>3523.5000000000009</v>
      </c>
      <c r="K136" s="416">
        <f t="shared" si="64"/>
        <v>1197.2299999999996</v>
      </c>
      <c r="L136" s="416">
        <f t="shared" si="64"/>
        <v>2312.559999999999</v>
      </c>
      <c r="M136" s="416">
        <f t="shared" si="64"/>
        <v>1686.6699999999983</v>
      </c>
      <c r="N136" s="416">
        <f t="shared" si="64"/>
        <v>2153.6200000000026</v>
      </c>
      <c r="O136" s="416">
        <f t="shared" si="64"/>
        <v>2505.7399999999984</v>
      </c>
      <c r="P136" s="416">
        <f t="shared" si="64"/>
        <v>3138.3300000000008</v>
      </c>
      <c r="Q136" s="416">
        <f t="shared" si="64"/>
        <v>4070.9400000000014</v>
      </c>
      <c r="R136" s="416">
        <f t="shared" si="64"/>
        <v>40738.050000000003</v>
      </c>
      <c r="S136" s="416">
        <f t="shared" si="64"/>
        <v>361.949999999998</v>
      </c>
    </row>
    <row r="137" spans="1:19" ht="19.5" customHeight="1" x14ac:dyDescent="0.2">
      <c r="A137" s="383"/>
      <c r="B137" s="400" t="s">
        <v>34</v>
      </c>
      <c r="C137" s="417">
        <f t="shared" ref="C137:S137" si="65">C138+C139+C140</f>
        <v>47000</v>
      </c>
      <c r="D137" s="417">
        <f t="shared" si="65"/>
        <v>41100</v>
      </c>
      <c r="E137" s="417">
        <f t="shared" si="65"/>
        <v>0</v>
      </c>
      <c r="F137" s="417">
        <f t="shared" si="65"/>
        <v>4724.55</v>
      </c>
      <c r="G137" s="417">
        <f t="shared" si="65"/>
        <v>5440.1699999999992</v>
      </c>
      <c r="H137" s="417">
        <f t="shared" si="65"/>
        <v>5114.6200000000008</v>
      </c>
      <c r="I137" s="417">
        <f t="shared" si="65"/>
        <v>4870.1200000000008</v>
      </c>
      <c r="J137" s="417">
        <f t="shared" si="65"/>
        <v>3523.5000000000009</v>
      </c>
      <c r="K137" s="417">
        <f t="shared" si="65"/>
        <v>1197.2299999999996</v>
      </c>
      <c r="L137" s="417">
        <f t="shared" si="65"/>
        <v>2312.559999999999</v>
      </c>
      <c r="M137" s="417">
        <f t="shared" si="65"/>
        <v>1686.6699999999983</v>
      </c>
      <c r="N137" s="417">
        <f t="shared" si="65"/>
        <v>2153.6200000000026</v>
      </c>
      <c r="O137" s="417">
        <f t="shared" si="65"/>
        <v>2505.7399999999984</v>
      </c>
      <c r="P137" s="417">
        <f t="shared" si="65"/>
        <v>3138.3300000000008</v>
      </c>
      <c r="Q137" s="417">
        <f t="shared" si="65"/>
        <v>4070.9400000000014</v>
      </c>
      <c r="R137" s="417">
        <f t="shared" si="65"/>
        <v>40738.050000000003</v>
      </c>
      <c r="S137" s="417">
        <f t="shared" si="65"/>
        <v>361.949999999998</v>
      </c>
    </row>
    <row r="138" spans="1:19" ht="19.5" customHeight="1" x14ac:dyDescent="0.2">
      <c r="A138" s="383"/>
      <c r="B138" s="400" t="s">
        <v>36</v>
      </c>
      <c r="C138" s="385">
        <v>46000</v>
      </c>
      <c r="D138" s="385">
        <v>39800</v>
      </c>
      <c r="E138" s="403"/>
      <c r="F138" s="403">
        <v>4724.55</v>
      </c>
      <c r="G138" s="403">
        <v>5181.6599999999989</v>
      </c>
      <c r="H138" s="403">
        <v>5114.6200000000008</v>
      </c>
      <c r="I138" s="403">
        <v>4870.1200000000008</v>
      </c>
      <c r="J138" s="403">
        <v>3426.7900000000009</v>
      </c>
      <c r="K138" s="403">
        <v>1197.2299999999996</v>
      </c>
      <c r="L138" s="403">
        <v>1904.4599999999991</v>
      </c>
      <c r="M138" s="403">
        <v>1686.6699999999983</v>
      </c>
      <c r="N138" s="403">
        <v>2004.3700000000026</v>
      </c>
      <c r="O138" s="403">
        <v>2411.0999999999985</v>
      </c>
      <c r="P138" s="403">
        <v>2991.6100000000006</v>
      </c>
      <c r="Q138" s="403">
        <v>3961.5800000000017</v>
      </c>
      <c r="R138" s="403">
        <f>SUM(F138:Q138)</f>
        <v>39474.76</v>
      </c>
      <c r="S138" s="385">
        <f>D138-R138</f>
        <v>325.23999999999796</v>
      </c>
    </row>
    <row r="139" spans="1:19" ht="19.5" customHeight="1" x14ac:dyDescent="0.2">
      <c r="A139" s="383"/>
      <c r="B139" s="400" t="s">
        <v>39</v>
      </c>
      <c r="C139" s="385"/>
      <c r="D139" s="385"/>
      <c r="E139" s="403"/>
      <c r="F139" s="403"/>
      <c r="G139" s="403">
        <v>0</v>
      </c>
      <c r="H139" s="403">
        <v>0</v>
      </c>
      <c r="I139" s="403">
        <v>0</v>
      </c>
      <c r="J139" s="403">
        <v>0</v>
      </c>
      <c r="K139" s="403">
        <v>0</v>
      </c>
      <c r="L139" s="403">
        <v>0</v>
      </c>
      <c r="M139" s="403">
        <v>0</v>
      </c>
      <c r="N139" s="403">
        <v>0</v>
      </c>
      <c r="O139" s="403">
        <v>0</v>
      </c>
      <c r="P139" s="403">
        <v>0</v>
      </c>
      <c r="Q139" s="403">
        <v>0</v>
      </c>
      <c r="R139" s="403">
        <f>SUM(F139:Q139)</f>
        <v>0</v>
      </c>
      <c r="S139" s="385">
        <f>D139-R139</f>
        <v>0</v>
      </c>
    </row>
    <row r="140" spans="1:19" ht="19.5" customHeight="1" x14ac:dyDescent="0.2">
      <c r="A140" s="383"/>
      <c r="B140" s="400" t="s">
        <v>40</v>
      </c>
      <c r="C140" s="385">
        <v>1000</v>
      </c>
      <c r="D140" s="385">
        <v>1300</v>
      </c>
      <c r="E140" s="403"/>
      <c r="F140" s="403"/>
      <c r="G140" s="403">
        <v>258.51</v>
      </c>
      <c r="H140" s="403">
        <v>0</v>
      </c>
      <c r="I140" s="403">
        <v>0</v>
      </c>
      <c r="J140" s="403">
        <v>96.710000000000036</v>
      </c>
      <c r="K140" s="403">
        <v>0</v>
      </c>
      <c r="L140" s="403">
        <v>408.1</v>
      </c>
      <c r="M140" s="403">
        <v>0</v>
      </c>
      <c r="N140" s="403">
        <v>149.25</v>
      </c>
      <c r="O140" s="403">
        <v>94.639999999999986</v>
      </c>
      <c r="P140" s="403">
        <v>146.72000000000003</v>
      </c>
      <c r="Q140" s="403">
        <v>109.3599999999999</v>
      </c>
      <c r="R140" s="403">
        <f>SUM(F140:Q140)</f>
        <v>1263.29</v>
      </c>
      <c r="S140" s="385">
        <f>D140-R140</f>
        <v>36.710000000000036</v>
      </c>
    </row>
    <row r="141" spans="1:19" ht="42.75" customHeight="1" x14ac:dyDescent="0.2">
      <c r="A141" s="413" t="s">
        <v>536</v>
      </c>
      <c r="B141" s="414" t="s">
        <v>537</v>
      </c>
      <c r="C141" s="419"/>
      <c r="D141" s="419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</row>
    <row r="142" spans="1:19" ht="19.5" customHeight="1" x14ac:dyDescent="0.2">
      <c r="A142" s="383"/>
      <c r="B142" s="400" t="s">
        <v>503</v>
      </c>
      <c r="C142" s="416">
        <f t="shared" ref="C142:S142" si="66">C143</f>
        <v>59000</v>
      </c>
      <c r="D142" s="416">
        <f t="shared" si="66"/>
        <v>65000</v>
      </c>
      <c r="E142" s="416">
        <f t="shared" si="66"/>
        <v>0</v>
      </c>
      <c r="F142" s="416">
        <f t="shared" si="66"/>
        <v>7171.69</v>
      </c>
      <c r="G142" s="416">
        <f t="shared" si="66"/>
        <v>9504.9500000000007</v>
      </c>
      <c r="H142" s="416">
        <f t="shared" si="66"/>
        <v>8408.02</v>
      </c>
      <c r="I142" s="416">
        <f t="shared" si="66"/>
        <v>7573.7500000000027</v>
      </c>
      <c r="J142" s="416">
        <f t="shared" si="66"/>
        <v>4305.6500000000015</v>
      </c>
      <c r="K142" s="416">
        <f t="shared" si="66"/>
        <v>3596.889999999999</v>
      </c>
      <c r="L142" s="416">
        <f t="shared" si="66"/>
        <v>4295.1099999999997</v>
      </c>
      <c r="M142" s="416">
        <f t="shared" si="66"/>
        <v>4514.7399999999989</v>
      </c>
      <c r="N142" s="416">
        <f t="shared" si="66"/>
        <v>4251.3200000000006</v>
      </c>
      <c r="O142" s="416">
        <f t="shared" si="66"/>
        <v>4045.7900000000018</v>
      </c>
      <c r="P142" s="416">
        <f t="shared" si="66"/>
        <v>4335.6699999999992</v>
      </c>
      <c r="Q142" s="416">
        <f t="shared" si="66"/>
        <v>2697.6699999999992</v>
      </c>
      <c r="R142" s="416">
        <f t="shared" si="66"/>
        <v>64701.25</v>
      </c>
      <c r="S142" s="416">
        <f t="shared" si="66"/>
        <v>298.74999999999909</v>
      </c>
    </row>
    <row r="143" spans="1:19" ht="19.5" customHeight="1" x14ac:dyDescent="0.2">
      <c r="A143" s="383"/>
      <c r="B143" s="400" t="s">
        <v>34</v>
      </c>
      <c r="C143" s="417">
        <f t="shared" ref="C143:S143" si="67">C144+C145+C146</f>
        <v>59000</v>
      </c>
      <c r="D143" s="417">
        <f t="shared" si="67"/>
        <v>65000</v>
      </c>
      <c r="E143" s="417">
        <f t="shared" si="67"/>
        <v>0</v>
      </c>
      <c r="F143" s="417">
        <f t="shared" si="67"/>
        <v>7171.69</v>
      </c>
      <c r="G143" s="417">
        <f t="shared" si="67"/>
        <v>9504.9500000000007</v>
      </c>
      <c r="H143" s="417">
        <f t="shared" si="67"/>
        <v>8408.02</v>
      </c>
      <c r="I143" s="417">
        <f t="shared" si="67"/>
        <v>7573.7500000000027</v>
      </c>
      <c r="J143" s="417">
        <f t="shared" si="67"/>
        <v>4305.6500000000015</v>
      </c>
      <c r="K143" s="417">
        <f t="shared" si="67"/>
        <v>3596.889999999999</v>
      </c>
      <c r="L143" s="417">
        <f t="shared" si="67"/>
        <v>4295.1099999999997</v>
      </c>
      <c r="M143" s="417">
        <f t="shared" si="67"/>
        <v>4514.7399999999989</v>
      </c>
      <c r="N143" s="417">
        <f t="shared" si="67"/>
        <v>4251.3200000000006</v>
      </c>
      <c r="O143" s="417">
        <f t="shared" si="67"/>
        <v>4045.7900000000018</v>
      </c>
      <c r="P143" s="417">
        <f t="shared" si="67"/>
        <v>4335.6699999999992</v>
      </c>
      <c r="Q143" s="417">
        <f t="shared" si="67"/>
        <v>2697.6699999999992</v>
      </c>
      <c r="R143" s="417">
        <f t="shared" si="67"/>
        <v>64701.25</v>
      </c>
      <c r="S143" s="417">
        <f t="shared" si="67"/>
        <v>298.74999999999909</v>
      </c>
    </row>
    <row r="144" spans="1:19" ht="19.5" customHeight="1" x14ac:dyDescent="0.2">
      <c r="A144" s="383"/>
      <c r="B144" s="400" t="s">
        <v>36</v>
      </c>
      <c r="C144" s="385">
        <v>54000</v>
      </c>
      <c r="D144" s="385">
        <v>59000</v>
      </c>
      <c r="E144" s="403"/>
      <c r="F144" s="403">
        <v>7171.69</v>
      </c>
      <c r="G144" s="403">
        <v>8699.59</v>
      </c>
      <c r="H144" s="403">
        <v>7874.66</v>
      </c>
      <c r="I144" s="403">
        <v>7040.3900000000031</v>
      </c>
      <c r="J144" s="403">
        <v>3772.2900000000009</v>
      </c>
      <c r="K144" s="403">
        <v>3088.5299999999988</v>
      </c>
      <c r="L144" s="403">
        <v>3786.75</v>
      </c>
      <c r="M144" s="403">
        <v>3984.0299999999988</v>
      </c>
      <c r="N144" s="403">
        <v>3720.6100000000006</v>
      </c>
      <c r="O144" s="403">
        <v>3515.0800000000017</v>
      </c>
      <c r="P144" s="403">
        <v>3804.9599999999991</v>
      </c>
      <c r="Q144" s="403">
        <v>2279.4599999999991</v>
      </c>
      <c r="R144" s="403">
        <f>SUM(F144:Q144)</f>
        <v>58738.04</v>
      </c>
      <c r="S144" s="385">
        <f>D144-R144</f>
        <v>261.95999999999913</v>
      </c>
    </row>
    <row r="145" spans="1:19" ht="19.5" customHeight="1" x14ac:dyDescent="0.2">
      <c r="A145" s="383"/>
      <c r="B145" s="400" t="s">
        <v>39</v>
      </c>
      <c r="C145" s="385"/>
      <c r="D145" s="385"/>
      <c r="E145" s="403"/>
      <c r="F145" s="403"/>
      <c r="G145" s="403">
        <v>0</v>
      </c>
      <c r="H145" s="403">
        <v>0</v>
      </c>
      <c r="I145" s="403">
        <v>0</v>
      </c>
      <c r="J145" s="403">
        <v>0</v>
      </c>
      <c r="K145" s="403">
        <v>0</v>
      </c>
      <c r="L145" s="403">
        <v>0</v>
      </c>
      <c r="M145" s="403">
        <v>0</v>
      </c>
      <c r="N145" s="403">
        <v>0</v>
      </c>
      <c r="O145" s="403">
        <v>0</v>
      </c>
      <c r="P145" s="403">
        <v>0</v>
      </c>
      <c r="Q145" s="403">
        <v>0</v>
      </c>
      <c r="R145" s="403">
        <f>SUM(F145:Q145)</f>
        <v>0</v>
      </c>
      <c r="S145" s="385">
        <f>D145-R145</f>
        <v>0</v>
      </c>
    </row>
    <row r="146" spans="1:19" ht="19.5" customHeight="1" x14ac:dyDescent="0.2">
      <c r="A146" s="383"/>
      <c r="B146" s="400" t="s">
        <v>40</v>
      </c>
      <c r="C146" s="385">
        <v>5000</v>
      </c>
      <c r="D146" s="385">
        <v>6000</v>
      </c>
      <c r="E146" s="403"/>
      <c r="F146" s="403"/>
      <c r="G146" s="403">
        <v>805.36</v>
      </c>
      <c r="H146" s="403">
        <v>533.36</v>
      </c>
      <c r="I146" s="403">
        <v>533.3599999999999</v>
      </c>
      <c r="J146" s="403">
        <v>533.36000000000013</v>
      </c>
      <c r="K146" s="403">
        <v>508.36000000000013</v>
      </c>
      <c r="L146" s="403">
        <v>508.35999999999967</v>
      </c>
      <c r="M146" s="403">
        <v>530.71</v>
      </c>
      <c r="N146" s="403">
        <v>530.71</v>
      </c>
      <c r="O146" s="403">
        <v>530.71</v>
      </c>
      <c r="P146" s="403">
        <v>530.71</v>
      </c>
      <c r="Q146" s="403">
        <v>418.21000000000004</v>
      </c>
      <c r="R146" s="403">
        <f>SUM(F146:Q146)</f>
        <v>5963.21</v>
      </c>
      <c r="S146" s="385">
        <f>D146-R146</f>
        <v>36.789999999999964</v>
      </c>
    </row>
    <row r="147" spans="1:19" ht="44.25" customHeight="1" x14ac:dyDescent="0.2">
      <c r="A147" s="413" t="s">
        <v>538</v>
      </c>
      <c r="B147" s="414" t="s">
        <v>539</v>
      </c>
      <c r="C147" s="419"/>
      <c r="D147" s="419"/>
      <c r="E147" s="403"/>
      <c r="F147" s="403"/>
      <c r="G147" s="403"/>
      <c r="H147" s="403"/>
      <c r="I147" s="403"/>
      <c r="J147" s="403"/>
      <c r="K147" s="403"/>
      <c r="L147" s="403"/>
      <c r="M147" s="403"/>
      <c r="N147" s="403"/>
      <c r="O147" s="403"/>
      <c r="P147" s="403"/>
      <c r="Q147" s="403"/>
      <c r="R147" s="403"/>
      <c r="S147" s="403"/>
    </row>
    <row r="148" spans="1:19" ht="19.5" customHeight="1" x14ac:dyDescent="0.2">
      <c r="A148" s="383"/>
      <c r="B148" s="400" t="s">
        <v>503</v>
      </c>
      <c r="C148" s="416">
        <f t="shared" ref="C148:S148" si="68">C149</f>
        <v>42000</v>
      </c>
      <c r="D148" s="416">
        <f t="shared" si="68"/>
        <v>45300</v>
      </c>
      <c r="E148" s="416">
        <f t="shared" si="68"/>
        <v>0</v>
      </c>
      <c r="F148" s="416">
        <f t="shared" si="68"/>
        <v>4358.3599999999997</v>
      </c>
      <c r="G148" s="416">
        <f t="shared" si="68"/>
        <v>5086.1699999999992</v>
      </c>
      <c r="H148" s="416">
        <f t="shared" si="68"/>
        <v>4258.41</v>
      </c>
      <c r="I148" s="416">
        <f t="shared" si="68"/>
        <v>4148.2200000000012</v>
      </c>
      <c r="J148" s="416">
        <f t="shared" si="68"/>
        <v>2687.84</v>
      </c>
      <c r="K148" s="416">
        <f t="shared" si="68"/>
        <v>2038.2599999999986</v>
      </c>
      <c r="L148" s="416">
        <f t="shared" si="68"/>
        <v>1535.8300000000017</v>
      </c>
      <c r="M148" s="416">
        <f t="shared" si="68"/>
        <v>1318.4499999999971</v>
      </c>
      <c r="N148" s="416">
        <f t="shared" si="68"/>
        <v>3707.1900000000028</v>
      </c>
      <c r="O148" s="416">
        <f t="shared" si="68"/>
        <v>10512.66</v>
      </c>
      <c r="P148" s="416">
        <f t="shared" si="68"/>
        <v>2867.8999999999978</v>
      </c>
      <c r="Q148" s="416">
        <f t="shared" si="68"/>
        <v>2768.989999999998</v>
      </c>
      <c r="R148" s="416">
        <f t="shared" si="68"/>
        <v>45288.28</v>
      </c>
      <c r="S148" s="416">
        <f t="shared" si="68"/>
        <v>11.720000000003211</v>
      </c>
    </row>
    <row r="149" spans="1:19" ht="19.5" customHeight="1" x14ac:dyDescent="0.2">
      <c r="A149" s="383"/>
      <c r="B149" s="400" t="s">
        <v>34</v>
      </c>
      <c r="C149" s="417">
        <f t="shared" ref="C149:S149" si="69">C150+C151+C152</f>
        <v>42000</v>
      </c>
      <c r="D149" s="417">
        <f t="shared" si="69"/>
        <v>45300</v>
      </c>
      <c r="E149" s="417">
        <f t="shared" si="69"/>
        <v>0</v>
      </c>
      <c r="F149" s="417">
        <f t="shared" si="69"/>
        <v>4358.3599999999997</v>
      </c>
      <c r="G149" s="417">
        <f t="shared" si="69"/>
        <v>5086.1699999999992</v>
      </c>
      <c r="H149" s="417">
        <f t="shared" si="69"/>
        <v>4258.41</v>
      </c>
      <c r="I149" s="417">
        <f t="shared" si="69"/>
        <v>4148.2200000000012</v>
      </c>
      <c r="J149" s="417">
        <f t="shared" si="69"/>
        <v>2687.84</v>
      </c>
      <c r="K149" s="417">
        <f t="shared" si="69"/>
        <v>2038.2599999999986</v>
      </c>
      <c r="L149" s="417">
        <f t="shared" si="69"/>
        <v>1535.8300000000017</v>
      </c>
      <c r="M149" s="417">
        <f t="shared" si="69"/>
        <v>1318.4499999999971</v>
      </c>
      <c r="N149" s="417">
        <f t="shared" si="69"/>
        <v>3707.1900000000028</v>
      </c>
      <c r="O149" s="417">
        <f t="shared" si="69"/>
        <v>10512.66</v>
      </c>
      <c r="P149" s="417">
        <f t="shared" si="69"/>
        <v>2867.8999999999978</v>
      </c>
      <c r="Q149" s="417">
        <f t="shared" si="69"/>
        <v>2768.989999999998</v>
      </c>
      <c r="R149" s="417">
        <f t="shared" si="69"/>
        <v>45288.28</v>
      </c>
      <c r="S149" s="417">
        <f t="shared" si="69"/>
        <v>11.720000000003211</v>
      </c>
    </row>
    <row r="150" spans="1:19" ht="19.5" customHeight="1" x14ac:dyDescent="0.2">
      <c r="A150" s="383"/>
      <c r="B150" s="400" t="s">
        <v>36</v>
      </c>
      <c r="C150" s="385">
        <v>41000</v>
      </c>
      <c r="D150" s="385">
        <v>44300</v>
      </c>
      <c r="E150" s="403"/>
      <c r="F150" s="403">
        <v>4270.7</v>
      </c>
      <c r="G150" s="403">
        <v>4998.5099999999993</v>
      </c>
      <c r="H150" s="403">
        <v>4170.75</v>
      </c>
      <c r="I150" s="403">
        <v>4060.5600000000013</v>
      </c>
      <c r="J150" s="403">
        <v>2600.1800000000003</v>
      </c>
      <c r="K150" s="403">
        <v>1950.5999999999985</v>
      </c>
      <c r="L150" s="403">
        <v>1448.1700000000019</v>
      </c>
      <c r="M150" s="403">
        <v>1318.4499999999971</v>
      </c>
      <c r="N150" s="403">
        <v>3531.8700000000026</v>
      </c>
      <c r="O150" s="403">
        <v>10425</v>
      </c>
      <c r="P150" s="403">
        <v>2780.239999999998</v>
      </c>
      <c r="Q150" s="403">
        <v>2739.989999999998</v>
      </c>
      <c r="R150" s="403">
        <f>SUM(F150:Q150)</f>
        <v>44295.02</v>
      </c>
      <c r="S150" s="385">
        <f>D150-R150</f>
        <v>4.9800000000032014</v>
      </c>
    </row>
    <row r="151" spans="1:19" ht="19.5" customHeight="1" x14ac:dyDescent="0.2">
      <c r="A151" s="383"/>
      <c r="B151" s="400" t="s">
        <v>39</v>
      </c>
      <c r="C151" s="385"/>
      <c r="D151" s="385"/>
      <c r="E151" s="403"/>
      <c r="F151" s="403"/>
      <c r="G151" s="403">
        <v>0</v>
      </c>
      <c r="H151" s="403">
        <v>0</v>
      </c>
      <c r="I151" s="403">
        <v>0</v>
      </c>
      <c r="J151" s="403">
        <v>0</v>
      </c>
      <c r="K151" s="403">
        <v>0</v>
      </c>
      <c r="L151" s="403">
        <v>0</v>
      </c>
      <c r="M151" s="403">
        <v>0</v>
      </c>
      <c r="N151" s="403">
        <v>0</v>
      </c>
      <c r="O151" s="403">
        <v>0</v>
      </c>
      <c r="P151" s="403">
        <v>0</v>
      </c>
      <c r="Q151" s="403">
        <v>0</v>
      </c>
      <c r="R151" s="403">
        <f>SUM(F151:Q151)</f>
        <v>0</v>
      </c>
      <c r="S151" s="385">
        <f>D151-R151</f>
        <v>0</v>
      </c>
    </row>
    <row r="152" spans="1:19" ht="19.5" customHeight="1" x14ac:dyDescent="0.2">
      <c r="A152" s="383"/>
      <c r="B152" s="400" t="s">
        <v>40</v>
      </c>
      <c r="C152" s="420">
        <v>1000</v>
      </c>
      <c r="D152" s="420">
        <v>1000</v>
      </c>
      <c r="E152" s="403"/>
      <c r="F152" s="403">
        <v>87.66</v>
      </c>
      <c r="G152" s="403">
        <v>87.66</v>
      </c>
      <c r="H152" s="403">
        <v>87.660000000000025</v>
      </c>
      <c r="I152" s="403">
        <v>87.659999999999968</v>
      </c>
      <c r="J152" s="403">
        <v>87.660000000000025</v>
      </c>
      <c r="K152" s="403">
        <v>87.660000000000025</v>
      </c>
      <c r="L152" s="403">
        <v>87.659999999999968</v>
      </c>
      <c r="M152" s="403">
        <v>0</v>
      </c>
      <c r="N152" s="403">
        <v>175.32000000000005</v>
      </c>
      <c r="O152" s="403">
        <v>87.659999999999968</v>
      </c>
      <c r="P152" s="403">
        <v>87.659999999999968</v>
      </c>
      <c r="Q152" s="403">
        <v>29</v>
      </c>
      <c r="R152" s="403">
        <f>SUM(F152:Q152)</f>
        <v>993.26</v>
      </c>
      <c r="S152" s="385">
        <f>D152-R152</f>
        <v>6.7400000000000091</v>
      </c>
    </row>
    <row r="153" spans="1:19" ht="46.5" customHeight="1" x14ac:dyDescent="0.2">
      <c r="A153" s="413" t="s">
        <v>540</v>
      </c>
      <c r="B153" s="414" t="s">
        <v>541</v>
      </c>
      <c r="C153" s="419"/>
      <c r="D153" s="419"/>
      <c r="E153" s="403"/>
      <c r="F153" s="403"/>
      <c r="G153" s="403"/>
      <c r="H153" s="403"/>
      <c r="I153" s="403"/>
      <c r="J153" s="403"/>
      <c r="K153" s="403"/>
      <c r="L153" s="403"/>
      <c r="M153" s="403"/>
      <c r="N153" s="403"/>
      <c r="O153" s="403"/>
      <c r="P153" s="403"/>
      <c r="Q153" s="403"/>
      <c r="R153" s="403"/>
      <c r="S153" s="403"/>
    </row>
    <row r="154" spans="1:19" ht="19.5" customHeight="1" x14ac:dyDescent="0.2">
      <c r="A154" s="383"/>
      <c r="B154" s="400" t="s">
        <v>503</v>
      </c>
      <c r="C154" s="416">
        <f t="shared" ref="C154:S154" si="70">C155</f>
        <v>37000</v>
      </c>
      <c r="D154" s="416">
        <f t="shared" si="70"/>
        <v>38000</v>
      </c>
      <c r="E154" s="416">
        <f t="shared" si="70"/>
        <v>0</v>
      </c>
      <c r="F154" s="416">
        <f t="shared" si="70"/>
        <v>4559.6000000000004</v>
      </c>
      <c r="G154" s="416">
        <f t="shared" si="70"/>
        <v>7743.7699999999986</v>
      </c>
      <c r="H154" s="416">
        <f t="shared" si="70"/>
        <v>5288.5700000000024</v>
      </c>
      <c r="I154" s="416">
        <f t="shared" si="70"/>
        <v>6538.4999999999991</v>
      </c>
      <c r="J154" s="416">
        <f t="shared" si="70"/>
        <v>2917.7699999999977</v>
      </c>
      <c r="K154" s="416">
        <f t="shared" si="70"/>
        <v>3280.1000000000022</v>
      </c>
      <c r="L154" s="416">
        <f t="shared" si="70"/>
        <v>1178.6600000000001</v>
      </c>
      <c r="M154" s="416">
        <f t="shared" si="70"/>
        <v>1880.4499999999994</v>
      </c>
      <c r="N154" s="416">
        <f t="shared" si="70"/>
        <v>1562.0599999999977</v>
      </c>
      <c r="O154" s="416">
        <f t="shared" si="70"/>
        <v>1893.1600000000026</v>
      </c>
      <c r="P154" s="416">
        <f t="shared" si="70"/>
        <v>937.41999999999643</v>
      </c>
      <c r="Q154" s="416">
        <f t="shared" si="70"/>
        <v>205</v>
      </c>
      <c r="R154" s="416">
        <f t="shared" si="70"/>
        <v>37985.06</v>
      </c>
      <c r="S154" s="416">
        <f t="shared" si="70"/>
        <v>14.940000000003238</v>
      </c>
    </row>
    <row r="155" spans="1:19" ht="19.5" customHeight="1" x14ac:dyDescent="0.2">
      <c r="A155" s="383"/>
      <c r="B155" s="400" t="s">
        <v>34</v>
      </c>
      <c r="C155" s="417">
        <f t="shared" ref="C155:S155" si="71">C156+C157+C158</f>
        <v>37000</v>
      </c>
      <c r="D155" s="417">
        <f t="shared" si="71"/>
        <v>38000</v>
      </c>
      <c r="E155" s="417">
        <f t="shared" si="71"/>
        <v>0</v>
      </c>
      <c r="F155" s="417">
        <f t="shared" si="71"/>
        <v>4559.6000000000004</v>
      </c>
      <c r="G155" s="417">
        <f t="shared" si="71"/>
        <v>7743.7699999999986</v>
      </c>
      <c r="H155" s="417">
        <f t="shared" si="71"/>
        <v>5288.5700000000024</v>
      </c>
      <c r="I155" s="417">
        <f t="shared" si="71"/>
        <v>6538.4999999999991</v>
      </c>
      <c r="J155" s="417">
        <f t="shared" si="71"/>
        <v>2917.7699999999977</v>
      </c>
      <c r="K155" s="417">
        <f t="shared" si="71"/>
        <v>3280.1000000000022</v>
      </c>
      <c r="L155" s="417">
        <f t="shared" si="71"/>
        <v>1178.6600000000001</v>
      </c>
      <c r="M155" s="417">
        <f t="shared" si="71"/>
        <v>1880.4499999999994</v>
      </c>
      <c r="N155" s="417">
        <f t="shared" si="71"/>
        <v>1562.0599999999977</v>
      </c>
      <c r="O155" s="417">
        <f t="shared" si="71"/>
        <v>1893.1600000000026</v>
      </c>
      <c r="P155" s="417">
        <f t="shared" si="71"/>
        <v>937.41999999999643</v>
      </c>
      <c r="Q155" s="417">
        <f t="shared" si="71"/>
        <v>205</v>
      </c>
      <c r="R155" s="417">
        <f t="shared" si="71"/>
        <v>37985.06</v>
      </c>
      <c r="S155" s="417">
        <f t="shared" si="71"/>
        <v>14.940000000003238</v>
      </c>
    </row>
    <row r="156" spans="1:19" ht="19.5" customHeight="1" x14ac:dyDescent="0.2">
      <c r="A156" s="383"/>
      <c r="B156" s="400" t="s">
        <v>36</v>
      </c>
      <c r="C156" s="385">
        <v>36000</v>
      </c>
      <c r="D156" s="385">
        <v>37000</v>
      </c>
      <c r="E156" s="403"/>
      <c r="F156" s="403">
        <v>4559.6000000000004</v>
      </c>
      <c r="G156" s="403">
        <v>7700.619999999999</v>
      </c>
      <c r="H156" s="403">
        <v>5063.6100000000024</v>
      </c>
      <c r="I156" s="403">
        <v>6516.9399999999987</v>
      </c>
      <c r="J156" s="403">
        <v>2874.6499999999978</v>
      </c>
      <c r="K156" s="403">
        <v>3280.1000000000022</v>
      </c>
      <c r="L156" s="403">
        <v>1157.0900000000001</v>
      </c>
      <c r="M156" s="403">
        <v>1450.8899999999994</v>
      </c>
      <c r="N156" s="403">
        <v>1562.0599999999977</v>
      </c>
      <c r="O156" s="403">
        <v>1769.1200000000026</v>
      </c>
      <c r="P156" s="403">
        <v>848.83999999999651</v>
      </c>
      <c r="Q156" s="403">
        <v>205</v>
      </c>
      <c r="R156" s="403">
        <f>SUM(F156:Q156)</f>
        <v>36988.519999999997</v>
      </c>
      <c r="S156" s="385">
        <f>D156-R156</f>
        <v>11.480000000003201</v>
      </c>
    </row>
    <row r="157" spans="1:19" ht="19.5" customHeight="1" x14ac:dyDescent="0.2">
      <c r="A157" s="383"/>
      <c r="B157" s="400" t="s">
        <v>39</v>
      </c>
      <c r="C157" s="385"/>
      <c r="D157" s="385"/>
      <c r="E157" s="403"/>
      <c r="F157" s="403"/>
      <c r="G157" s="403">
        <v>0</v>
      </c>
      <c r="H157" s="403">
        <v>0</v>
      </c>
      <c r="I157" s="403">
        <v>0</v>
      </c>
      <c r="J157" s="403">
        <v>0</v>
      </c>
      <c r="K157" s="403">
        <v>0</v>
      </c>
      <c r="L157" s="403">
        <v>0</v>
      </c>
      <c r="M157" s="403">
        <v>0</v>
      </c>
      <c r="N157" s="403">
        <v>0</v>
      </c>
      <c r="O157" s="403">
        <v>0</v>
      </c>
      <c r="P157" s="403">
        <v>0</v>
      </c>
      <c r="Q157" s="403">
        <v>0</v>
      </c>
      <c r="R157" s="403">
        <f>SUM(F157:Q157)</f>
        <v>0</v>
      </c>
      <c r="S157" s="385">
        <f>D157-R157</f>
        <v>0</v>
      </c>
    </row>
    <row r="158" spans="1:19" ht="19.5" customHeight="1" x14ac:dyDescent="0.2">
      <c r="A158" s="383"/>
      <c r="B158" s="400" t="s">
        <v>40</v>
      </c>
      <c r="C158" s="385">
        <v>1000</v>
      </c>
      <c r="D158" s="385">
        <v>1000</v>
      </c>
      <c r="E158" s="403"/>
      <c r="F158" s="403"/>
      <c r="G158" s="403">
        <v>43.15</v>
      </c>
      <c r="H158" s="403">
        <v>224.96</v>
      </c>
      <c r="I158" s="403">
        <v>21.560000000000002</v>
      </c>
      <c r="J158" s="403">
        <v>43.120000000000005</v>
      </c>
      <c r="K158" s="403">
        <v>0</v>
      </c>
      <c r="L158" s="403">
        <v>21.569999999999993</v>
      </c>
      <c r="M158" s="403">
        <v>429.55999999999995</v>
      </c>
      <c r="N158" s="403">
        <v>0</v>
      </c>
      <c r="O158" s="403">
        <v>124.04000000000008</v>
      </c>
      <c r="P158" s="403">
        <v>88.579999999999927</v>
      </c>
      <c r="Q158" s="403">
        <v>0</v>
      </c>
      <c r="R158" s="403">
        <f>SUM(F158:Q158)</f>
        <v>996.54</v>
      </c>
      <c r="S158" s="385">
        <f>D158-R158</f>
        <v>3.4600000000000364</v>
      </c>
    </row>
    <row r="159" spans="1:19" ht="44.25" customHeight="1" x14ac:dyDescent="0.2">
      <c r="A159" s="413" t="s">
        <v>542</v>
      </c>
      <c r="B159" s="414" t="s">
        <v>543</v>
      </c>
      <c r="C159" s="419"/>
      <c r="D159" s="419"/>
      <c r="E159" s="403"/>
      <c r="F159" s="403"/>
      <c r="G159" s="403"/>
      <c r="H159" s="403"/>
      <c r="I159" s="403"/>
      <c r="J159" s="403"/>
      <c r="K159" s="403"/>
      <c r="L159" s="403"/>
      <c r="M159" s="403"/>
      <c r="N159" s="403"/>
      <c r="O159" s="403"/>
      <c r="P159" s="403"/>
      <c r="Q159" s="403"/>
      <c r="R159" s="403"/>
      <c r="S159" s="403"/>
    </row>
    <row r="160" spans="1:19" ht="19.5" customHeight="1" x14ac:dyDescent="0.2">
      <c r="A160" s="383"/>
      <c r="B160" s="400" t="s">
        <v>503</v>
      </c>
      <c r="C160" s="416">
        <f t="shared" ref="C160:S160" si="72">C161</f>
        <v>22000</v>
      </c>
      <c r="D160" s="416">
        <f t="shared" si="72"/>
        <v>22800</v>
      </c>
      <c r="E160" s="416">
        <f t="shared" si="72"/>
        <v>0</v>
      </c>
      <c r="F160" s="416">
        <f t="shared" si="72"/>
        <v>1065.48</v>
      </c>
      <c r="G160" s="416">
        <f t="shared" si="72"/>
        <v>2995.96</v>
      </c>
      <c r="H160" s="416">
        <f t="shared" si="72"/>
        <v>2751.8300000000004</v>
      </c>
      <c r="I160" s="416">
        <f t="shared" si="72"/>
        <v>4543.18</v>
      </c>
      <c r="J160" s="416">
        <f t="shared" si="72"/>
        <v>2147.9799999999996</v>
      </c>
      <c r="K160" s="416">
        <f t="shared" si="72"/>
        <v>1391.3600000000006</v>
      </c>
      <c r="L160" s="416">
        <f t="shared" si="72"/>
        <v>1442.3599999999988</v>
      </c>
      <c r="M160" s="416">
        <f t="shared" si="72"/>
        <v>1620.840000000002</v>
      </c>
      <c r="N160" s="416">
        <f t="shared" si="72"/>
        <v>2161.6699999999983</v>
      </c>
      <c r="O160" s="416">
        <f t="shared" si="72"/>
        <v>1849.5999999999985</v>
      </c>
      <c r="P160" s="416">
        <f t="shared" si="72"/>
        <v>787</v>
      </c>
      <c r="Q160" s="416">
        <f t="shared" si="72"/>
        <v>28</v>
      </c>
      <c r="R160" s="416">
        <f t="shared" si="72"/>
        <v>22785.26</v>
      </c>
      <c r="S160" s="416">
        <f t="shared" si="72"/>
        <v>14.740000000001601</v>
      </c>
    </row>
    <row r="161" spans="1:19" ht="19.5" customHeight="1" x14ac:dyDescent="0.2">
      <c r="A161" s="383"/>
      <c r="B161" s="400" t="s">
        <v>34</v>
      </c>
      <c r="C161" s="417">
        <f t="shared" ref="C161:S161" si="73">C162+C163+C164</f>
        <v>22000</v>
      </c>
      <c r="D161" s="417">
        <f t="shared" si="73"/>
        <v>22800</v>
      </c>
      <c r="E161" s="417">
        <f t="shared" si="73"/>
        <v>0</v>
      </c>
      <c r="F161" s="417">
        <f t="shared" si="73"/>
        <v>1065.48</v>
      </c>
      <c r="G161" s="417">
        <f t="shared" si="73"/>
        <v>2995.96</v>
      </c>
      <c r="H161" s="417">
        <f t="shared" si="73"/>
        <v>2751.8300000000004</v>
      </c>
      <c r="I161" s="417">
        <f t="shared" si="73"/>
        <v>4543.18</v>
      </c>
      <c r="J161" s="417">
        <f t="shared" si="73"/>
        <v>2147.9799999999996</v>
      </c>
      <c r="K161" s="417">
        <f t="shared" si="73"/>
        <v>1391.3600000000006</v>
      </c>
      <c r="L161" s="417">
        <f t="shared" si="73"/>
        <v>1442.3599999999988</v>
      </c>
      <c r="M161" s="417">
        <f t="shared" si="73"/>
        <v>1620.840000000002</v>
      </c>
      <c r="N161" s="417">
        <f t="shared" si="73"/>
        <v>2161.6699999999983</v>
      </c>
      <c r="O161" s="417">
        <f t="shared" si="73"/>
        <v>1849.5999999999985</v>
      </c>
      <c r="P161" s="417">
        <f t="shared" si="73"/>
        <v>787</v>
      </c>
      <c r="Q161" s="417">
        <f t="shared" si="73"/>
        <v>28</v>
      </c>
      <c r="R161" s="417">
        <f t="shared" si="73"/>
        <v>22785.26</v>
      </c>
      <c r="S161" s="417">
        <f t="shared" si="73"/>
        <v>14.740000000001601</v>
      </c>
    </row>
    <row r="162" spans="1:19" ht="19.5" customHeight="1" x14ac:dyDescent="0.2">
      <c r="A162" s="383"/>
      <c r="B162" s="400" t="s">
        <v>36</v>
      </c>
      <c r="C162" s="385">
        <v>21000</v>
      </c>
      <c r="D162" s="385">
        <v>22500</v>
      </c>
      <c r="E162" s="403"/>
      <c r="F162" s="403">
        <v>1065.48</v>
      </c>
      <c r="G162" s="403">
        <v>2947.96</v>
      </c>
      <c r="H162" s="403">
        <v>2727.8300000000004</v>
      </c>
      <c r="I162" s="403">
        <v>4519.18</v>
      </c>
      <c r="J162" s="403">
        <v>2123.9799999999996</v>
      </c>
      <c r="K162" s="403">
        <v>1367.3600000000006</v>
      </c>
      <c r="L162" s="403">
        <v>1418.3599999999988</v>
      </c>
      <c r="M162" s="403">
        <v>1596.840000000002</v>
      </c>
      <c r="N162" s="403">
        <v>2137.6699999999983</v>
      </c>
      <c r="O162" s="403">
        <v>1825.5999999999985</v>
      </c>
      <c r="P162" s="403">
        <v>763</v>
      </c>
      <c r="Q162" s="403">
        <v>4</v>
      </c>
      <c r="R162" s="403">
        <f>SUM(F162:Q162)</f>
        <v>22497.26</v>
      </c>
      <c r="S162" s="385">
        <f>D162-R162</f>
        <v>2.7400000000016007</v>
      </c>
    </row>
    <row r="163" spans="1:19" ht="19.5" customHeight="1" x14ac:dyDescent="0.2">
      <c r="A163" s="383"/>
      <c r="B163" s="400" t="s">
        <v>39</v>
      </c>
      <c r="C163" s="385"/>
      <c r="D163" s="385"/>
      <c r="E163" s="403"/>
      <c r="F163" s="403"/>
      <c r="G163" s="403">
        <v>0</v>
      </c>
      <c r="H163" s="403">
        <v>0</v>
      </c>
      <c r="I163" s="403">
        <v>0</v>
      </c>
      <c r="J163" s="403">
        <v>0</v>
      </c>
      <c r="K163" s="403">
        <v>0</v>
      </c>
      <c r="L163" s="403">
        <v>0</v>
      </c>
      <c r="M163" s="403">
        <v>0</v>
      </c>
      <c r="N163" s="403">
        <v>0</v>
      </c>
      <c r="O163" s="403">
        <v>0</v>
      </c>
      <c r="P163" s="403">
        <v>0</v>
      </c>
      <c r="Q163" s="403">
        <v>0</v>
      </c>
      <c r="R163" s="403">
        <f>SUM(F163:Q163)</f>
        <v>0</v>
      </c>
      <c r="S163" s="385">
        <f>D163-R163</f>
        <v>0</v>
      </c>
    </row>
    <row r="164" spans="1:19" ht="19.5" customHeight="1" x14ac:dyDescent="0.2">
      <c r="A164" s="383"/>
      <c r="B164" s="400" t="s">
        <v>40</v>
      </c>
      <c r="C164" s="385">
        <v>1000</v>
      </c>
      <c r="D164" s="385">
        <v>300</v>
      </c>
      <c r="E164" s="403"/>
      <c r="F164" s="403"/>
      <c r="G164" s="403">
        <v>48</v>
      </c>
      <c r="H164" s="403">
        <v>24</v>
      </c>
      <c r="I164" s="403">
        <v>24</v>
      </c>
      <c r="J164" s="403">
        <v>24</v>
      </c>
      <c r="K164" s="403">
        <v>24</v>
      </c>
      <c r="L164" s="403">
        <v>24</v>
      </c>
      <c r="M164" s="403">
        <v>24</v>
      </c>
      <c r="N164" s="403">
        <v>24</v>
      </c>
      <c r="O164" s="403">
        <v>24</v>
      </c>
      <c r="P164" s="403">
        <v>24</v>
      </c>
      <c r="Q164" s="403">
        <v>24</v>
      </c>
      <c r="R164" s="403">
        <f>SUM(F164:Q164)</f>
        <v>288</v>
      </c>
      <c r="S164" s="385">
        <f>D164-R164</f>
        <v>12</v>
      </c>
    </row>
    <row r="165" spans="1:19" ht="56.25" customHeight="1" x14ac:dyDescent="0.2">
      <c r="A165" s="413" t="s">
        <v>544</v>
      </c>
      <c r="B165" s="414" t="s">
        <v>545</v>
      </c>
      <c r="C165" s="419"/>
      <c r="D165" s="419"/>
      <c r="E165" s="403"/>
      <c r="F165" s="403"/>
      <c r="G165" s="403"/>
      <c r="H165" s="403"/>
      <c r="I165" s="403"/>
      <c r="J165" s="403"/>
      <c r="K165" s="403"/>
      <c r="L165" s="403"/>
      <c r="M165" s="403"/>
      <c r="N165" s="403"/>
      <c r="O165" s="403"/>
      <c r="P165" s="403"/>
      <c r="Q165" s="403"/>
      <c r="R165" s="403"/>
      <c r="S165" s="403"/>
    </row>
    <row r="166" spans="1:19" ht="19.5" customHeight="1" x14ac:dyDescent="0.2">
      <c r="A166" s="383"/>
      <c r="B166" s="400" t="s">
        <v>503</v>
      </c>
      <c r="C166" s="416">
        <f t="shared" ref="C166:S166" si="74">C167</f>
        <v>20000</v>
      </c>
      <c r="D166" s="416">
        <f t="shared" si="74"/>
        <v>21200</v>
      </c>
      <c r="E166" s="416">
        <f t="shared" si="74"/>
        <v>0</v>
      </c>
      <c r="F166" s="416">
        <f t="shared" si="74"/>
        <v>1420.48</v>
      </c>
      <c r="G166" s="416">
        <f t="shared" si="74"/>
        <v>2390.13</v>
      </c>
      <c r="H166" s="416">
        <f t="shared" si="74"/>
        <v>2038.5099999999998</v>
      </c>
      <c r="I166" s="416">
        <f t="shared" si="74"/>
        <v>1931.3000000000002</v>
      </c>
      <c r="J166" s="416">
        <f t="shared" si="74"/>
        <v>1462.1800000000003</v>
      </c>
      <c r="K166" s="416">
        <f t="shared" si="74"/>
        <v>1255.1699999999989</v>
      </c>
      <c r="L166" s="416">
        <f t="shared" si="74"/>
        <v>1473.8300000000006</v>
      </c>
      <c r="M166" s="416">
        <f t="shared" si="74"/>
        <v>1717.5800000000006</v>
      </c>
      <c r="N166" s="416">
        <f t="shared" si="74"/>
        <v>965.59000000000015</v>
      </c>
      <c r="O166" s="416">
        <f t="shared" si="74"/>
        <v>1283.3199999999997</v>
      </c>
      <c r="P166" s="416">
        <f t="shared" si="74"/>
        <v>4513.8899999999994</v>
      </c>
      <c r="Q166" s="416">
        <f t="shared" si="74"/>
        <v>433.8</v>
      </c>
      <c r="R166" s="416">
        <f t="shared" si="74"/>
        <v>20885.78</v>
      </c>
      <c r="S166" s="416">
        <f t="shared" si="74"/>
        <v>314.21999999999969</v>
      </c>
    </row>
    <row r="167" spans="1:19" ht="19.5" customHeight="1" x14ac:dyDescent="0.2">
      <c r="A167" s="383"/>
      <c r="B167" s="400" t="s">
        <v>34</v>
      </c>
      <c r="C167" s="417">
        <f t="shared" ref="C167:S167" si="75">C168+C169+C170</f>
        <v>20000</v>
      </c>
      <c r="D167" s="417">
        <f t="shared" si="75"/>
        <v>21200</v>
      </c>
      <c r="E167" s="417">
        <f t="shared" si="75"/>
        <v>0</v>
      </c>
      <c r="F167" s="417">
        <f t="shared" si="75"/>
        <v>1420.48</v>
      </c>
      <c r="G167" s="417">
        <f t="shared" si="75"/>
        <v>2390.13</v>
      </c>
      <c r="H167" s="417">
        <f t="shared" si="75"/>
        <v>2038.5099999999998</v>
      </c>
      <c r="I167" s="417">
        <f t="shared" si="75"/>
        <v>1931.3000000000002</v>
      </c>
      <c r="J167" s="417">
        <f t="shared" si="75"/>
        <v>1462.1800000000003</v>
      </c>
      <c r="K167" s="417">
        <f t="shared" si="75"/>
        <v>1255.1699999999989</v>
      </c>
      <c r="L167" s="417">
        <f t="shared" si="75"/>
        <v>1473.8300000000006</v>
      </c>
      <c r="M167" s="417">
        <f t="shared" si="75"/>
        <v>1717.5800000000006</v>
      </c>
      <c r="N167" s="417">
        <f t="shared" si="75"/>
        <v>965.59000000000015</v>
      </c>
      <c r="O167" s="417">
        <f t="shared" si="75"/>
        <v>1283.3199999999997</v>
      </c>
      <c r="P167" s="417">
        <f t="shared" si="75"/>
        <v>4513.8899999999994</v>
      </c>
      <c r="Q167" s="417">
        <f t="shared" si="75"/>
        <v>433.8</v>
      </c>
      <c r="R167" s="417">
        <f t="shared" si="75"/>
        <v>20885.78</v>
      </c>
      <c r="S167" s="417">
        <f t="shared" si="75"/>
        <v>314.21999999999969</v>
      </c>
    </row>
    <row r="168" spans="1:19" ht="19.5" customHeight="1" x14ac:dyDescent="0.2">
      <c r="A168" s="383"/>
      <c r="B168" s="400" t="s">
        <v>36</v>
      </c>
      <c r="C168" s="385">
        <v>20000</v>
      </c>
      <c r="D168" s="385">
        <v>20500</v>
      </c>
      <c r="E168" s="403"/>
      <c r="F168" s="403">
        <v>1420.48</v>
      </c>
      <c r="G168" s="403">
        <v>2390.13</v>
      </c>
      <c r="H168" s="403">
        <v>2038.5099999999998</v>
      </c>
      <c r="I168" s="403">
        <v>1931.3000000000002</v>
      </c>
      <c r="J168" s="403">
        <v>1298.1800000000003</v>
      </c>
      <c r="K168" s="403">
        <v>1206.369999999999</v>
      </c>
      <c r="L168" s="403">
        <v>1445.0300000000007</v>
      </c>
      <c r="M168" s="403">
        <v>1648.7800000000007</v>
      </c>
      <c r="N168" s="403">
        <v>965.59000000000015</v>
      </c>
      <c r="O168" s="403">
        <v>1283.3199999999997</v>
      </c>
      <c r="P168" s="403">
        <v>4367.49</v>
      </c>
      <c r="Q168" s="403">
        <v>385</v>
      </c>
      <c r="R168" s="403">
        <f>SUM(F168:Q168)</f>
        <v>20380.18</v>
      </c>
      <c r="S168" s="385">
        <f>D168-R168</f>
        <v>119.81999999999971</v>
      </c>
    </row>
    <row r="169" spans="1:19" ht="19.5" customHeight="1" x14ac:dyDescent="0.2">
      <c r="A169" s="383"/>
      <c r="B169" s="400" t="s">
        <v>39</v>
      </c>
      <c r="C169" s="385"/>
      <c r="D169" s="385"/>
      <c r="E169" s="403"/>
      <c r="F169" s="403"/>
      <c r="G169" s="403">
        <v>0</v>
      </c>
      <c r="H169" s="403">
        <v>0</v>
      </c>
      <c r="I169" s="403">
        <v>0</v>
      </c>
      <c r="J169" s="403">
        <v>0</v>
      </c>
      <c r="K169" s="403">
        <v>0</v>
      </c>
      <c r="L169" s="403">
        <v>0</v>
      </c>
      <c r="M169" s="403">
        <v>0</v>
      </c>
      <c r="N169" s="403">
        <v>0</v>
      </c>
      <c r="O169" s="403">
        <v>0</v>
      </c>
      <c r="P169" s="403">
        <v>0</v>
      </c>
      <c r="Q169" s="403">
        <v>0</v>
      </c>
      <c r="R169" s="403">
        <f>SUM(F169:Q169)</f>
        <v>0</v>
      </c>
      <c r="S169" s="385">
        <f>D169-R169</f>
        <v>0</v>
      </c>
    </row>
    <row r="170" spans="1:19" ht="19.5" customHeight="1" x14ac:dyDescent="0.2">
      <c r="A170" s="383"/>
      <c r="B170" s="400" t="s">
        <v>40</v>
      </c>
      <c r="C170" s="385"/>
      <c r="D170" s="385">
        <v>700</v>
      </c>
      <c r="E170" s="403"/>
      <c r="F170" s="403"/>
      <c r="G170" s="403">
        <v>0</v>
      </c>
      <c r="H170" s="403">
        <v>0</v>
      </c>
      <c r="I170" s="403">
        <v>0</v>
      </c>
      <c r="J170" s="403">
        <v>164</v>
      </c>
      <c r="K170" s="403">
        <v>48.800000000000011</v>
      </c>
      <c r="L170" s="403">
        <v>28.799999999999983</v>
      </c>
      <c r="M170" s="403">
        <v>68.799999999999983</v>
      </c>
      <c r="N170" s="403">
        <v>0</v>
      </c>
      <c r="O170" s="403">
        <v>0</v>
      </c>
      <c r="P170" s="403">
        <v>146.40000000000003</v>
      </c>
      <c r="Q170" s="403">
        <v>48.800000000000011</v>
      </c>
      <c r="R170" s="403">
        <f>SUM(F170:Q170)</f>
        <v>505.6</v>
      </c>
      <c r="S170" s="421">
        <f>D170-R170</f>
        <v>194.39999999999998</v>
      </c>
    </row>
    <row r="171" spans="1:19" ht="38.25" customHeight="1" x14ac:dyDescent="0.2">
      <c r="A171" s="413" t="s">
        <v>546</v>
      </c>
      <c r="B171" s="414" t="s">
        <v>547</v>
      </c>
      <c r="C171" s="419"/>
      <c r="D171" s="419"/>
      <c r="E171" s="415"/>
      <c r="F171" s="415"/>
      <c r="G171" s="415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</row>
    <row r="172" spans="1:19" ht="19.5" customHeight="1" x14ac:dyDescent="0.2">
      <c r="A172" s="383"/>
      <c r="B172" s="400" t="s">
        <v>503</v>
      </c>
      <c r="C172" s="416">
        <f>C173</f>
        <v>45000</v>
      </c>
      <c r="D172" s="416">
        <f>D173</f>
        <v>45000</v>
      </c>
      <c r="E172" s="416">
        <f t="shared" ref="E172:S172" si="76">SUM(E173)</f>
        <v>0</v>
      </c>
      <c r="F172" s="416">
        <f t="shared" si="76"/>
        <v>3031.37</v>
      </c>
      <c r="G172" s="416">
        <f t="shared" si="76"/>
        <v>4979.17</v>
      </c>
      <c r="H172" s="416">
        <f t="shared" si="76"/>
        <v>5005.7699999999995</v>
      </c>
      <c r="I172" s="416">
        <f t="shared" si="76"/>
        <v>3810.4699999999993</v>
      </c>
      <c r="J172" s="416">
        <f t="shared" si="76"/>
        <v>3128.0400000000009</v>
      </c>
      <c r="K172" s="416">
        <f t="shared" si="76"/>
        <v>2208.8000000000002</v>
      </c>
      <c r="L172" s="416">
        <f t="shared" si="76"/>
        <v>2551.8199999999997</v>
      </c>
      <c r="M172" s="416">
        <f t="shared" si="76"/>
        <v>3035.4900000000016</v>
      </c>
      <c r="N172" s="416">
        <f t="shared" si="76"/>
        <v>5074.5399999999972</v>
      </c>
      <c r="O172" s="416">
        <f t="shared" si="76"/>
        <v>6420.34</v>
      </c>
      <c r="P172" s="416">
        <f t="shared" si="76"/>
        <v>3388.5700000000029</v>
      </c>
      <c r="Q172" s="416">
        <f t="shared" si="76"/>
        <v>2283.48</v>
      </c>
      <c r="R172" s="416">
        <f t="shared" si="76"/>
        <v>44917.86</v>
      </c>
      <c r="S172" s="416">
        <f t="shared" si="76"/>
        <v>82.139999999998281</v>
      </c>
    </row>
    <row r="173" spans="1:19" ht="19.5" customHeight="1" x14ac:dyDescent="0.2">
      <c r="A173" s="383"/>
      <c r="B173" s="400" t="s">
        <v>34</v>
      </c>
      <c r="C173" s="417">
        <f>C174+C175+C176</f>
        <v>45000</v>
      </c>
      <c r="D173" s="417">
        <f>D174+D175+D176</f>
        <v>45000</v>
      </c>
      <c r="E173" s="417">
        <f>SUM(E174:E176)</f>
        <v>0</v>
      </c>
      <c r="F173" s="417">
        <f t="shared" ref="F173:S173" si="77">SUM(F174:F176)</f>
        <v>3031.37</v>
      </c>
      <c r="G173" s="417">
        <f t="shared" si="77"/>
        <v>4979.17</v>
      </c>
      <c r="H173" s="417">
        <f t="shared" si="77"/>
        <v>5005.7699999999995</v>
      </c>
      <c r="I173" s="417">
        <f t="shared" si="77"/>
        <v>3810.4699999999993</v>
      </c>
      <c r="J173" s="417">
        <f t="shared" si="77"/>
        <v>3128.0400000000009</v>
      </c>
      <c r="K173" s="417">
        <f t="shared" si="77"/>
        <v>2208.8000000000002</v>
      </c>
      <c r="L173" s="417">
        <f t="shared" si="77"/>
        <v>2551.8199999999997</v>
      </c>
      <c r="M173" s="417">
        <f t="shared" si="77"/>
        <v>3035.4900000000016</v>
      </c>
      <c r="N173" s="417">
        <f t="shared" si="77"/>
        <v>5074.5399999999972</v>
      </c>
      <c r="O173" s="417">
        <f t="shared" si="77"/>
        <v>6420.34</v>
      </c>
      <c r="P173" s="417">
        <f t="shared" si="77"/>
        <v>3388.5700000000029</v>
      </c>
      <c r="Q173" s="417">
        <f t="shared" si="77"/>
        <v>2283.48</v>
      </c>
      <c r="R173" s="417">
        <f t="shared" si="77"/>
        <v>44917.86</v>
      </c>
      <c r="S173" s="417">
        <f t="shared" si="77"/>
        <v>82.139999999998281</v>
      </c>
    </row>
    <row r="174" spans="1:19" ht="19.5" customHeight="1" x14ac:dyDescent="0.2">
      <c r="A174" s="383"/>
      <c r="B174" s="400" t="s">
        <v>36</v>
      </c>
      <c r="C174" s="385">
        <v>44000</v>
      </c>
      <c r="D174" s="385">
        <v>44000</v>
      </c>
      <c r="E174" s="403"/>
      <c r="F174" s="403">
        <v>3031.37</v>
      </c>
      <c r="G174" s="403">
        <v>4979.17</v>
      </c>
      <c r="H174" s="403">
        <v>5005.7699999999995</v>
      </c>
      <c r="I174" s="403">
        <v>3810.4699999999993</v>
      </c>
      <c r="J174" s="403">
        <v>3128.0400000000009</v>
      </c>
      <c r="K174" s="403">
        <v>1857.0200000000004</v>
      </c>
      <c r="L174" s="403">
        <v>2551.8199999999997</v>
      </c>
      <c r="M174" s="403">
        <v>3035.4900000000016</v>
      </c>
      <c r="N174" s="403">
        <v>5074.5399999999972</v>
      </c>
      <c r="O174" s="403">
        <v>6420.34</v>
      </c>
      <c r="P174" s="403">
        <v>3054.0500000000029</v>
      </c>
      <c r="Q174" s="403">
        <v>2002.5</v>
      </c>
      <c r="R174" s="403">
        <f>SUM(F174:Q174)</f>
        <v>43950.58</v>
      </c>
      <c r="S174" s="385">
        <f>D174-R174</f>
        <v>49.419999999998254</v>
      </c>
    </row>
    <row r="175" spans="1:19" ht="19.5" customHeight="1" x14ac:dyDescent="0.2">
      <c r="A175" s="383"/>
      <c r="B175" s="400" t="s">
        <v>39</v>
      </c>
      <c r="C175" s="385"/>
      <c r="D175" s="385"/>
      <c r="E175" s="403"/>
      <c r="F175" s="403"/>
      <c r="G175" s="403">
        <v>0</v>
      </c>
      <c r="H175" s="403">
        <v>0</v>
      </c>
      <c r="I175" s="403">
        <v>0</v>
      </c>
      <c r="J175" s="403">
        <v>0</v>
      </c>
      <c r="K175" s="403">
        <v>0</v>
      </c>
      <c r="L175" s="403">
        <v>0</v>
      </c>
      <c r="M175" s="403">
        <v>0</v>
      </c>
      <c r="N175" s="403">
        <v>0</v>
      </c>
      <c r="O175" s="403">
        <v>0</v>
      </c>
      <c r="P175" s="403">
        <v>0</v>
      </c>
      <c r="Q175" s="403">
        <v>0</v>
      </c>
      <c r="R175" s="403">
        <f>SUM(F175:Q175)</f>
        <v>0</v>
      </c>
      <c r="S175" s="385">
        <f>D175-R175</f>
        <v>0</v>
      </c>
    </row>
    <row r="176" spans="1:19" ht="19.5" customHeight="1" x14ac:dyDescent="0.2">
      <c r="A176" s="383"/>
      <c r="B176" s="400" t="s">
        <v>40</v>
      </c>
      <c r="C176" s="385">
        <v>1000</v>
      </c>
      <c r="D176" s="385">
        <v>1000</v>
      </c>
      <c r="E176" s="403"/>
      <c r="F176" s="403"/>
      <c r="G176" s="403">
        <v>0</v>
      </c>
      <c r="H176" s="403">
        <v>0</v>
      </c>
      <c r="I176" s="403">
        <v>0</v>
      </c>
      <c r="J176" s="403">
        <v>0</v>
      </c>
      <c r="K176" s="403">
        <v>351.78</v>
      </c>
      <c r="L176" s="403">
        <v>0</v>
      </c>
      <c r="M176" s="403">
        <v>0</v>
      </c>
      <c r="N176" s="403">
        <v>0</v>
      </c>
      <c r="O176" s="403">
        <v>0</v>
      </c>
      <c r="P176" s="403">
        <v>334.52</v>
      </c>
      <c r="Q176" s="403">
        <v>280.98</v>
      </c>
      <c r="R176" s="403">
        <f>SUM(F176:Q176)</f>
        <v>967.28</v>
      </c>
      <c r="S176" s="385">
        <f>D176-R176</f>
        <v>32.720000000000027</v>
      </c>
    </row>
    <row r="177" spans="1:19" ht="38.25" customHeight="1" x14ac:dyDescent="0.2">
      <c r="A177" s="405" t="s">
        <v>548</v>
      </c>
      <c r="B177" s="422" t="s">
        <v>549</v>
      </c>
      <c r="C177" s="423"/>
      <c r="D177" s="423"/>
      <c r="E177" s="424"/>
      <c r="F177" s="424"/>
      <c r="G177" s="424"/>
      <c r="H177" s="424"/>
      <c r="I177" s="424"/>
      <c r="J177" s="424"/>
      <c r="K177" s="424"/>
      <c r="L177" s="424"/>
      <c r="M177" s="424"/>
      <c r="N177" s="424"/>
      <c r="O177" s="424"/>
      <c r="P177" s="424"/>
      <c r="Q177" s="424"/>
      <c r="R177" s="424"/>
      <c r="S177" s="424"/>
    </row>
    <row r="178" spans="1:19" ht="19.5" customHeight="1" x14ac:dyDescent="0.2">
      <c r="A178" s="408"/>
      <c r="B178" s="409" t="s">
        <v>503</v>
      </c>
      <c r="C178" s="425">
        <f t="shared" ref="C178:S178" si="78">C179+C184+C185+C186</f>
        <v>2463200000</v>
      </c>
      <c r="D178" s="425">
        <f t="shared" si="78"/>
        <v>2433220327</v>
      </c>
      <c r="E178" s="425">
        <f>E179+E184+E185+E186</f>
        <v>0</v>
      </c>
      <c r="F178" s="425">
        <f t="shared" si="78"/>
        <v>198924508.38</v>
      </c>
      <c r="G178" s="425">
        <f t="shared" si="78"/>
        <v>201569280.38000005</v>
      </c>
      <c r="H178" s="425">
        <f t="shared" si="78"/>
        <v>201849868.99999994</v>
      </c>
      <c r="I178" s="425">
        <f t="shared" si="78"/>
        <v>202751699.94000003</v>
      </c>
      <c r="J178" s="425">
        <f t="shared" si="78"/>
        <v>203241787.99999997</v>
      </c>
      <c r="K178" s="425">
        <f t="shared" si="78"/>
        <v>202396346.61000004</v>
      </c>
      <c r="L178" s="425">
        <f t="shared" si="78"/>
        <v>202412210.84999996</v>
      </c>
      <c r="M178" s="425">
        <f t="shared" si="78"/>
        <v>202344750.5500001</v>
      </c>
      <c r="N178" s="425">
        <f t="shared" si="78"/>
        <v>202511777.57999998</v>
      </c>
      <c r="O178" s="425">
        <f t="shared" si="78"/>
        <v>203175693.76999992</v>
      </c>
      <c r="P178" s="425">
        <f t="shared" si="78"/>
        <v>206079720.73000023</v>
      </c>
      <c r="Q178" s="425">
        <f t="shared" si="78"/>
        <v>205726345.63999996</v>
      </c>
      <c r="R178" s="425">
        <f t="shared" si="78"/>
        <v>2432983991.4300003</v>
      </c>
      <c r="S178" s="425">
        <f t="shared" si="78"/>
        <v>236335.56999990746</v>
      </c>
    </row>
    <row r="179" spans="1:19" ht="19.5" customHeight="1" x14ac:dyDescent="0.2">
      <c r="A179" s="408"/>
      <c r="B179" s="409" t="s">
        <v>34</v>
      </c>
      <c r="C179" s="425">
        <f t="shared" ref="C179:S179" si="79">SUM(C181:C183)</f>
        <v>2463200000</v>
      </c>
      <c r="D179" s="425">
        <f t="shared" si="79"/>
        <v>2430532250</v>
      </c>
      <c r="E179" s="425">
        <f>SUM(E180:E183)</f>
        <v>0</v>
      </c>
      <c r="F179" s="425">
        <f t="shared" si="79"/>
        <v>198924508.38</v>
      </c>
      <c r="G179" s="425">
        <f t="shared" si="79"/>
        <v>201090229.55000004</v>
      </c>
      <c r="H179" s="425">
        <f t="shared" si="79"/>
        <v>201604498.29999995</v>
      </c>
      <c r="I179" s="425">
        <f t="shared" si="79"/>
        <v>202544565.31000003</v>
      </c>
      <c r="J179" s="425">
        <f t="shared" si="79"/>
        <v>203017175.00999996</v>
      </c>
      <c r="K179" s="425">
        <f t="shared" si="79"/>
        <v>202396346.61000004</v>
      </c>
      <c r="L179" s="425">
        <f t="shared" si="79"/>
        <v>202209118.25999996</v>
      </c>
      <c r="M179" s="425">
        <f t="shared" si="79"/>
        <v>202130879.66000012</v>
      </c>
      <c r="N179" s="425">
        <f t="shared" si="79"/>
        <v>202511777.57999998</v>
      </c>
      <c r="O179" s="425">
        <f t="shared" si="79"/>
        <v>203175693.76999992</v>
      </c>
      <c r="P179" s="425">
        <f t="shared" si="79"/>
        <v>205409464.47000024</v>
      </c>
      <c r="Q179" s="425">
        <f t="shared" si="79"/>
        <v>205282211.17999995</v>
      </c>
      <c r="R179" s="425">
        <f t="shared" si="79"/>
        <v>2430296468.0800004</v>
      </c>
      <c r="S179" s="425">
        <f t="shared" si="79"/>
        <v>235781.91999990755</v>
      </c>
    </row>
    <row r="180" spans="1:19" ht="19.5" customHeight="1" x14ac:dyDescent="0.2">
      <c r="A180" s="408"/>
      <c r="B180" s="409" t="s">
        <v>504</v>
      </c>
      <c r="C180" s="425">
        <f>C190</f>
        <v>0</v>
      </c>
      <c r="D180" s="423">
        <f t="shared" ref="D180:S180" si="80">D190</f>
        <v>17300</v>
      </c>
      <c r="E180" s="423">
        <f t="shared" si="80"/>
        <v>0</v>
      </c>
      <c r="F180" s="425">
        <f t="shared" si="80"/>
        <v>0</v>
      </c>
      <c r="G180" s="425">
        <f t="shared" si="80"/>
        <v>0</v>
      </c>
      <c r="H180" s="425">
        <f t="shared" si="80"/>
        <v>17123.400000000001</v>
      </c>
      <c r="I180" s="425">
        <f t="shared" si="80"/>
        <v>0</v>
      </c>
      <c r="J180" s="425">
        <f t="shared" si="80"/>
        <v>0</v>
      </c>
      <c r="K180" s="425">
        <f t="shared" si="80"/>
        <v>0</v>
      </c>
      <c r="L180" s="425">
        <f t="shared" si="80"/>
        <v>0</v>
      </c>
      <c r="M180" s="425">
        <f t="shared" si="80"/>
        <v>0</v>
      </c>
      <c r="N180" s="425">
        <f t="shared" si="80"/>
        <v>0</v>
      </c>
      <c r="O180" s="425">
        <f t="shared" si="80"/>
        <v>0</v>
      </c>
      <c r="P180" s="425">
        <f t="shared" si="80"/>
        <v>0</v>
      </c>
      <c r="Q180" s="425">
        <f t="shared" si="80"/>
        <v>0</v>
      </c>
      <c r="R180" s="425">
        <f t="shared" si="80"/>
        <v>17123.400000000001</v>
      </c>
      <c r="S180" s="425">
        <f t="shared" si="80"/>
        <v>176.59999999999854</v>
      </c>
    </row>
    <row r="181" spans="1:19" ht="19.5" customHeight="1" x14ac:dyDescent="0.2">
      <c r="A181" s="408"/>
      <c r="B181" s="409" t="s">
        <v>36</v>
      </c>
      <c r="C181" s="423">
        <f t="shared" ref="C181:S181" si="81">C191+C198+C207</f>
        <v>5010000</v>
      </c>
      <c r="D181" s="423">
        <f t="shared" si="81"/>
        <v>2841800</v>
      </c>
      <c r="E181" s="423">
        <f t="shared" si="81"/>
        <v>0</v>
      </c>
      <c r="F181" s="423">
        <f t="shared" si="81"/>
        <v>191107.34</v>
      </c>
      <c r="G181" s="423">
        <f t="shared" si="81"/>
        <v>207608.23</v>
      </c>
      <c r="H181" s="423">
        <f t="shared" si="81"/>
        <v>198345.26</v>
      </c>
      <c r="I181" s="423">
        <f t="shared" si="81"/>
        <v>206329.93</v>
      </c>
      <c r="J181" s="423">
        <f t="shared" si="81"/>
        <v>184848.17999999993</v>
      </c>
      <c r="K181" s="423">
        <f t="shared" si="81"/>
        <v>199029.09000000008</v>
      </c>
      <c r="L181" s="423">
        <f t="shared" si="81"/>
        <v>215694.12</v>
      </c>
      <c r="M181" s="423">
        <f t="shared" si="81"/>
        <v>264140.21000000008</v>
      </c>
      <c r="N181" s="423">
        <f t="shared" si="81"/>
        <v>269728.85999999987</v>
      </c>
      <c r="O181" s="423">
        <f t="shared" si="81"/>
        <v>282946.80000000005</v>
      </c>
      <c r="P181" s="423">
        <f t="shared" si="81"/>
        <v>261642.54000000004</v>
      </c>
      <c r="Q181" s="423">
        <f t="shared" si="81"/>
        <v>326174.56999999983</v>
      </c>
      <c r="R181" s="423">
        <f t="shared" si="81"/>
        <v>2807595.13</v>
      </c>
      <c r="S181" s="423">
        <f t="shared" si="81"/>
        <v>34204.870000000112</v>
      </c>
    </row>
    <row r="182" spans="1:19" ht="19.5" customHeight="1" x14ac:dyDescent="0.2">
      <c r="A182" s="408"/>
      <c r="B182" s="409" t="s">
        <v>39</v>
      </c>
      <c r="C182" s="423">
        <f t="shared" ref="C182:S183" si="82">C192+C199+C208+C271</f>
        <v>2454090000</v>
      </c>
      <c r="D182" s="423">
        <f>D192+D199+D208+D271</f>
        <v>2423008008</v>
      </c>
      <c r="E182" s="423">
        <f t="shared" si="82"/>
        <v>0</v>
      </c>
      <c r="F182" s="423">
        <f t="shared" si="82"/>
        <v>198733401.03999999</v>
      </c>
      <c r="G182" s="423">
        <f t="shared" si="82"/>
        <v>200875954.92000005</v>
      </c>
      <c r="H182" s="423">
        <f t="shared" si="82"/>
        <v>201220457.63999996</v>
      </c>
      <c r="I182" s="423">
        <f t="shared" si="82"/>
        <v>200976153.42000002</v>
      </c>
      <c r="J182" s="423">
        <f t="shared" si="82"/>
        <v>202451900.54999995</v>
      </c>
      <c r="K182" s="423">
        <f t="shared" si="82"/>
        <v>201799724.00000003</v>
      </c>
      <c r="L182" s="423">
        <f t="shared" si="82"/>
        <v>201565686.61999995</v>
      </c>
      <c r="M182" s="423">
        <f t="shared" si="82"/>
        <v>201510136.95000011</v>
      </c>
      <c r="N182" s="423">
        <f t="shared" si="82"/>
        <v>202064920.87999997</v>
      </c>
      <c r="O182" s="423">
        <f t="shared" si="82"/>
        <v>202731735.9499999</v>
      </c>
      <c r="P182" s="423">
        <f t="shared" si="82"/>
        <v>204950890.82000023</v>
      </c>
      <c r="Q182" s="423">
        <f t="shared" si="82"/>
        <v>203996235.38999996</v>
      </c>
      <c r="R182" s="423">
        <f t="shared" si="82"/>
        <v>2422877198.1800003</v>
      </c>
      <c r="S182" s="423">
        <f t="shared" si="82"/>
        <v>130809.81999990699</v>
      </c>
    </row>
    <row r="183" spans="1:19" ht="19.5" customHeight="1" x14ac:dyDescent="0.2">
      <c r="A183" s="408"/>
      <c r="B183" s="409" t="s">
        <v>40</v>
      </c>
      <c r="C183" s="423">
        <f t="shared" si="82"/>
        <v>4100000</v>
      </c>
      <c r="D183" s="423">
        <f t="shared" si="82"/>
        <v>4682442</v>
      </c>
      <c r="E183" s="423">
        <f t="shared" si="82"/>
        <v>0</v>
      </c>
      <c r="F183" s="423">
        <f t="shared" si="82"/>
        <v>0</v>
      </c>
      <c r="G183" s="423">
        <f t="shared" si="82"/>
        <v>6666.4</v>
      </c>
      <c r="H183" s="423">
        <f t="shared" si="82"/>
        <v>185695.4</v>
      </c>
      <c r="I183" s="423">
        <f t="shared" si="82"/>
        <v>1362081.96</v>
      </c>
      <c r="J183" s="423">
        <f t="shared" si="82"/>
        <v>380426.28</v>
      </c>
      <c r="K183" s="423">
        <f t="shared" si="82"/>
        <v>397593.52</v>
      </c>
      <c r="L183" s="423">
        <f t="shared" si="82"/>
        <v>427737.52</v>
      </c>
      <c r="M183" s="423">
        <f t="shared" si="82"/>
        <v>356602.5</v>
      </c>
      <c r="N183" s="423">
        <f t="shared" si="82"/>
        <v>177127.83999999985</v>
      </c>
      <c r="O183" s="423">
        <f t="shared" si="82"/>
        <v>161011.02000000002</v>
      </c>
      <c r="P183" s="423">
        <f t="shared" si="82"/>
        <v>196931.10999999987</v>
      </c>
      <c r="Q183" s="423">
        <f t="shared" si="82"/>
        <v>959801.21999999974</v>
      </c>
      <c r="R183" s="423">
        <f t="shared" si="82"/>
        <v>4611674.7699999996</v>
      </c>
      <c r="S183" s="423">
        <f t="shared" si="82"/>
        <v>70767.230000000447</v>
      </c>
    </row>
    <row r="184" spans="1:19" ht="19.5" customHeight="1" x14ac:dyDescent="0.2">
      <c r="A184" s="408"/>
      <c r="B184" s="422" t="s">
        <v>43</v>
      </c>
      <c r="C184" s="423">
        <f t="shared" ref="C184:S184" si="83">C194+C201+C273</f>
        <v>0</v>
      </c>
      <c r="D184" s="423">
        <f t="shared" si="83"/>
        <v>0</v>
      </c>
      <c r="E184" s="423">
        <f t="shared" si="83"/>
        <v>0</v>
      </c>
      <c r="F184" s="423">
        <f t="shared" si="83"/>
        <v>0</v>
      </c>
      <c r="G184" s="423">
        <f t="shared" si="83"/>
        <v>0</v>
      </c>
      <c r="H184" s="423">
        <f t="shared" si="83"/>
        <v>0</v>
      </c>
      <c r="I184" s="423">
        <f t="shared" si="83"/>
        <v>0</v>
      </c>
      <c r="J184" s="423">
        <f t="shared" si="83"/>
        <v>0</v>
      </c>
      <c r="K184" s="423">
        <f t="shared" si="83"/>
        <v>0</v>
      </c>
      <c r="L184" s="423">
        <f t="shared" si="83"/>
        <v>0</v>
      </c>
      <c r="M184" s="423">
        <f t="shared" si="83"/>
        <v>0</v>
      </c>
      <c r="N184" s="423">
        <f t="shared" si="83"/>
        <v>0</v>
      </c>
      <c r="O184" s="423">
        <f t="shared" si="83"/>
        <v>0</v>
      </c>
      <c r="P184" s="423">
        <f t="shared" si="83"/>
        <v>0</v>
      </c>
      <c r="Q184" s="423">
        <f t="shared" si="83"/>
        <v>0</v>
      </c>
      <c r="R184" s="423">
        <f t="shared" si="83"/>
        <v>0</v>
      </c>
      <c r="S184" s="423">
        <f t="shared" si="83"/>
        <v>0</v>
      </c>
    </row>
    <row r="185" spans="1:19" ht="19.5" customHeight="1" x14ac:dyDescent="0.2">
      <c r="A185" s="408"/>
      <c r="B185" s="422" t="s">
        <v>505</v>
      </c>
      <c r="C185" s="423">
        <f t="shared" ref="C185:S186" si="84">C202</f>
        <v>0</v>
      </c>
      <c r="D185" s="423">
        <f t="shared" si="84"/>
        <v>0</v>
      </c>
      <c r="E185" s="423">
        <f t="shared" si="84"/>
        <v>0</v>
      </c>
      <c r="F185" s="423">
        <f t="shared" si="84"/>
        <v>0</v>
      </c>
      <c r="G185" s="423">
        <f t="shared" si="84"/>
        <v>0</v>
      </c>
      <c r="H185" s="423">
        <f t="shared" si="84"/>
        <v>0</v>
      </c>
      <c r="I185" s="423">
        <f t="shared" si="84"/>
        <v>0</v>
      </c>
      <c r="J185" s="423">
        <f t="shared" si="84"/>
        <v>0</v>
      </c>
      <c r="K185" s="423">
        <f t="shared" si="84"/>
        <v>0</v>
      </c>
      <c r="L185" s="423">
        <f t="shared" si="84"/>
        <v>0</v>
      </c>
      <c r="M185" s="423">
        <f t="shared" si="84"/>
        <v>0</v>
      </c>
      <c r="N185" s="423">
        <f t="shared" si="84"/>
        <v>0</v>
      </c>
      <c r="O185" s="423">
        <f t="shared" si="84"/>
        <v>0</v>
      </c>
      <c r="P185" s="423">
        <f t="shared" si="84"/>
        <v>0</v>
      </c>
      <c r="Q185" s="423">
        <f t="shared" si="84"/>
        <v>0</v>
      </c>
      <c r="R185" s="423">
        <f t="shared" si="84"/>
        <v>0</v>
      </c>
      <c r="S185" s="423">
        <f t="shared" si="84"/>
        <v>0</v>
      </c>
    </row>
    <row r="186" spans="1:19" ht="19.5" customHeight="1" x14ac:dyDescent="0.2">
      <c r="A186" s="408"/>
      <c r="B186" s="422" t="s">
        <v>506</v>
      </c>
      <c r="C186" s="423">
        <f t="shared" si="84"/>
        <v>0</v>
      </c>
      <c r="D186" s="423">
        <f t="shared" si="84"/>
        <v>2688077</v>
      </c>
      <c r="E186" s="423">
        <f t="shared" si="84"/>
        <v>0</v>
      </c>
      <c r="F186" s="423">
        <f t="shared" si="84"/>
        <v>0</v>
      </c>
      <c r="G186" s="423">
        <f t="shared" si="84"/>
        <v>479050.83</v>
      </c>
      <c r="H186" s="423">
        <f t="shared" si="84"/>
        <v>245370.7</v>
      </c>
      <c r="I186" s="423">
        <f t="shared" si="84"/>
        <v>207134.63</v>
      </c>
      <c r="J186" s="423">
        <f t="shared" si="84"/>
        <v>224612.98999999987</v>
      </c>
      <c r="K186" s="423">
        <f t="shared" si="84"/>
        <v>0</v>
      </c>
      <c r="L186" s="423">
        <f t="shared" si="84"/>
        <v>203092.59000000008</v>
      </c>
      <c r="M186" s="423">
        <f t="shared" si="84"/>
        <v>213870.89</v>
      </c>
      <c r="N186" s="423">
        <f t="shared" si="84"/>
        <v>0</v>
      </c>
      <c r="O186" s="423">
        <f t="shared" si="84"/>
        <v>0</v>
      </c>
      <c r="P186" s="423">
        <f t="shared" si="84"/>
        <v>670256.26000000024</v>
      </c>
      <c r="Q186" s="423">
        <f t="shared" si="84"/>
        <v>444134.46</v>
      </c>
      <c r="R186" s="423">
        <f t="shared" si="84"/>
        <v>2687523.35</v>
      </c>
      <c r="S186" s="423">
        <f t="shared" si="84"/>
        <v>553.64999999990687</v>
      </c>
    </row>
    <row r="187" spans="1:19" ht="30" customHeight="1" x14ac:dyDescent="0.2">
      <c r="A187" s="413" t="s">
        <v>306</v>
      </c>
      <c r="B187" s="414" t="s">
        <v>307</v>
      </c>
      <c r="C187" s="381"/>
      <c r="D187" s="381"/>
      <c r="E187" s="426"/>
      <c r="F187" s="426"/>
      <c r="G187" s="426"/>
      <c r="H187" s="426"/>
      <c r="I187" s="426"/>
      <c r="J187" s="426"/>
      <c r="K187" s="426"/>
      <c r="L187" s="426"/>
      <c r="M187" s="426"/>
      <c r="N187" s="426"/>
      <c r="O187" s="426"/>
      <c r="P187" s="426"/>
      <c r="Q187" s="426"/>
      <c r="R187" s="426"/>
      <c r="S187" s="426"/>
    </row>
    <row r="188" spans="1:19" ht="19.5" customHeight="1" x14ac:dyDescent="0.2">
      <c r="A188" s="383"/>
      <c r="B188" s="400" t="s">
        <v>503</v>
      </c>
      <c r="C188" s="416">
        <f t="shared" ref="C188:S188" si="85">C189+C194</f>
        <v>1700000000</v>
      </c>
      <c r="D188" s="416">
        <f t="shared" si="85"/>
        <v>1716760100</v>
      </c>
      <c r="E188" s="416">
        <f t="shared" si="85"/>
        <v>0</v>
      </c>
      <c r="F188" s="416">
        <f t="shared" si="85"/>
        <v>141909786.47999999</v>
      </c>
      <c r="G188" s="416">
        <f t="shared" si="85"/>
        <v>141899701.43000004</v>
      </c>
      <c r="H188" s="416">
        <f t="shared" si="85"/>
        <v>142154037.86999997</v>
      </c>
      <c r="I188" s="416">
        <f t="shared" si="85"/>
        <v>142417361.39999998</v>
      </c>
      <c r="J188" s="416">
        <f t="shared" si="85"/>
        <v>142817322.01999998</v>
      </c>
      <c r="K188" s="416">
        <f t="shared" si="85"/>
        <v>143017035.86000001</v>
      </c>
      <c r="L188" s="416">
        <f t="shared" si="85"/>
        <v>143125742.50999999</v>
      </c>
      <c r="M188" s="416">
        <f t="shared" si="85"/>
        <v>143550469.80000007</v>
      </c>
      <c r="N188" s="416">
        <f t="shared" si="85"/>
        <v>143738783.48000002</v>
      </c>
      <c r="O188" s="416">
        <f t="shared" si="85"/>
        <v>143906550.88999987</v>
      </c>
      <c r="P188" s="416">
        <f t="shared" si="85"/>
        <v>144200777.82000017</v>
      </c>
      <c r="Q188" s="416">
        <f t="shared" si="85"/>
        <v>144022263.29999995</v>
      </c>
      <c r="R188" s="416">
        <f t="shared" si="85"/>
        <v>1716759832.8600001</v>
      </c>
      <c r="S188" s="416">
        <f t="shared" si="85"/>
        <v>267.13999996185157</v>
      </c>
    </row>
    <row r="189" spans="1:19" ht="19.5" customHeight="1" x14ac:dyDescent="0.2">
      <c r="A189" s="383"/>
      <c r="B189" s="400" t="s">
        <v>34</v>
      </c>
      <c r="C189" s="417">
        <f>SUM(C191:C193)</f>
        <v>1700000000</v>
      </c>
      <c r="D189" s="417">
        <f>SUM(D190:D193)</f>
        <v>1716760100</v>
      </c>
      <c r="E189" s="417">
        <f t="shared" ref="E189:S189" si="86">SUM(E190:E193)</f>
        <v>0</v>
      </c>
      <c r="F189" s="417">
        <f t="shared" si="86"/>
        <v>141909786.47999999</v>
      </c>
      <c r="G189" s="417">
        <f t="shared" si="86"/>
        <v>141899701.43000004</v>
      </c>
      <c r="H189" s="417">
        <f t="shared" si="86"/>
        <v>142154037.86999997</v>
      </c>
      <c r="I189" s="417">
        <f t="shared" si="86"/>
        <v>142417361.39999998</v>
      </c>
      <c r="J189" s="417">
        <f t="shared" si="86"/>
        <v>142817322.01999998</v>
      </c>
      <c r="K189" s="417">
        <f t="shared" si="86"/>
        <v>143017035.86000001</v>
      </c>
      <c r="L189" s="417">
        <f t="shared" si="86"/>
        <v>143125742.50999999</v>
      </c>
      <c r="M189" s="417">
        <f t="shared" si="86"/>
        <v>143550469.80000007</v>
      </c>
      <c r="N189" s="417">
        <f t="shared" si="86"/>
        <v>143738783.48000002</v>
      </c>
      <c r="O189" s="417">
        <f t="shared" si="86"/>
        <v>143906550.88999987</v>
      </c>
      <c r="P189" s="417">
        <f t="shared" si="86"/>
        <v>144200777.82000017</v>
      </c>
      <c r="Q189" s="417">
        <f t="shared" si="86"/>
        <v>144022263.29999995</v>
      </c>
      <c r="R189" s="417">
        <f t="shared" si="86"/>
        <v>1716759832.8600001</v>
      </c>
      <c r="S189" s="417">
        <f t="shared" si="86"/>
        <v>267.13999996185157</v>
      </c>
    </row>
    <row r="190" spans="1:19" ht="19.5" customHeight="1" x14ac:dyDescent="0.2">
      <c r="A190" s="383"/>
      <c r="B190" s="400" t="s">
        <v>504</v>
      </c>
      <c r="C190" s="417"/>
      <c r="D190" s="417">
        <v>17300</v>
      </c>
      <c r="E190" s="417"/>
      <c r="F190" s="417"/>
      <c r="G190" s="417"/>
      <c r="H190" s="417">
        <v>17123.400000000001</v>
      </c>
      <c r="I190" s="417">
        <v>0</v>
      </c>
      <c r="J190" s="417">
        <v>0</v>
      </c>
      <c r="K190" s="417">
        <v>0</v>
      </c>
      <c r="L190" s="417">
        <v>0</v>
      </c>
      <c r="M190" s="417">
        <v>0</v>
      </c>
      <c r="N190" s="417">
        <v>0</v>
      </c>
      <c r="O190" s="417">
        <v>0</v>
      </c>
      <c r="P190" s="417">
        <v>0</v>
      </c>
      <c r="Q190" s="417">
        <v>0</v>
      </c>
      <c r="R190" s="385">
        <f>SUM(F190:Q190)</f>
        <v>17123.400000000001</v>
      </c>
      <c r="S190" s="385">
        <f>D190-R190</f>
        <v>176.59999999999854</v>
      </c>
    </row>
    <row r="191" spans="1:19" ht="19.5" customHeight="1" x14ac:dyDescent="0.2">
      <c r="A191" s="383"/>
      <c r="B191" s="400" t="s">
        <v>36</v>
      </c>
      <c r="C191" s="417"/>
      <c r="D191" s="427">
        <v>19900</v>
      </c>
      <c r="E191" s="417"/>
      <c r="F191" s="417"/>
      <c r="G191" s="417">
        <v>0</v>
      </c>
      <c r="H191" s="417">
        <v>0</v>
      </c>
      <c r="I191" s="417">
        <v>0</v>
      </c>
      <c r="J191" s="417">
        <v>0</v>
      </c>
      <c r="K191" s="417">
        <v>0</v>
      </c>
      <c r="L191" s="417">
        <v>0</v>
      </c>
      <c r="M191" s="417">
        <v>0</v>
      </c>
      <c r="N191" s="417">
        <v>0</v>
      </c>
      <c r="O191" s="417">
        <v>0</v>
      </c>
      <c r="P191" s="417">
        <v>0</v>
      </c>
      <c r="Q191" s="417">
        <v>19872</v>
      </c>
      <c r="R191" s="385">
        <f>SUM(F191:Q191)</f>
        <v>19872</v>
      </c>
      <c r="S191" s="385">
        <f>D191-R191</f>
        <v>28</v>
      </c>
    </row>
    <row r="192" spans="1:19" ht="19.5" customHeight="1" x14ac:dyDescent="0.2">
      <c r="A192" s="383"/>
      <c r="B192" s="400" t="s">
        <v>39</v>
      </c>
      <c r="C192" s="385">
        <v>1700000000</v>
      </c>
      <c r="D192" s="385">
        <v>1716705158</v>
      </c>
      <c r="E192" s="385"/>
      <c r="F192" s="385">
        <v>141909786.47999999</v>
      </c>
      <c r="G192" s="385">
        <v>141899701.43000004</v>
      </c>
      <c r="H192" s="385">
        <v>142136914.46999997</v>
      </c>
      <c r="I192" s="385">
        <v>142417361.39999998</v>
      </c>
      <c r="J192" s="385">
        <v>142817272.01999998</v>
      </c>
      <c r="K192" s="385">
        <v>143017035.86000001</v>
      </c>
      <c r="L192" s="385">
        <v>143125742.50999999</v>
      </c>
      <c r="M192" s="385">
        <v>143549969.80000007</v>
      </c>
      <c r="N192" s="385">
        <v>143738783.48000002</v>
      </c>
      <c r="O192" s="385">
        <v>143906550.88999987</v>
      </c>
      <c r="P192" s="385">
        <v>144200777.82000017</v>
      </c>
      <c r="Q192" s="385">
        <v>143985199.29999995</v>
      </c>
      <c r="R192" s="385">
        <f>SUM(F192:Q192)</f>
        <v>1716705095.46</v>
      </c>
      <c r="S192" s="385">
        <f>D192-R192</f>
        <v>62.539999961853027</v>
      </c>
    </row>
    <row r="193" spans="1:19" ht="19.5" customHeight="1" x14ac:dyDescent="0.2">
      <c r="A193" s="383"/>
      <c r="B193" s="400" t="s">
        <v>40</v>
      </c>
      <c r="C193" s="385"/>
      <c r="D193" s="427">
        <v>17742</v>
      </c>
      <c r="E193" s="385"/>
      <c r="F193" s="385"/>
      <c r="G193" s="385">
        <v>0</v>
      </c>
      <c r="H193" s="385">
        <v>0</v>
      </c>
      <c r="I193" s="385">
        <v>0</v>
      </c>
      <c r="J193" s="385">
        <v>50</v>
      </c>
      <c r="K193" s="385">
        <v>0</v>
      </c>
      <c r="L193" s="385">
        <v>0</v>
      </c>
      <c r="M193" s="385">
        <v>500</v>
      </c>
      <c r="N193" s="385">
        <v>0</v>
      </c>
      <c r="O193" s="385">
        <v>0</v>
      </c>
      <c r="P193" s="385">
        <v>0</v>
      </c>
      <c r="Q193" s="385">
        <v>17192</v>
      </c>
      <c r="R193" s="385">
        <f>SUM(F193:Q193)</f>
        <v>17742</v>
      </c>
      <c r="S193" s="385">
        <f>D193-R193</f>
        <v>0</v>
      </c>
    </row>
    <row r="194" spans="1:19" ht="19.5" customHeight="1" x14ac:dyDescent="0.2">
      <c r="A194" s="383"/>
      <c r="B194" s="400" t="s">
        <v>43</v>
      </c>
      <c r="C194" s="385"/>
      <c r="D194" s="416"/>
      <c r="E194" s="385"/>
      <c r="F194" s="385"/>
      <c r="G194" s="385">
        <v>0</v>
      </c>
      <c r="H194" s="385">
        <v>0</v>
      </c>
      <c r="I194" s="385">
        <v>0</v>
      </c>
      <c r="J194" s="385">
        <v>0</v>
      </c>
      <c r="K194" s="385">
        <v>0</v>
      </c>
      <c r="L194" s="385">
        <v>0</v>
      </c>
      <c r="M194" s="385">
        <v>0</v>
      </c>
      <c r="N194" s="385">
        <v>0</v>
      </c>
      <c r="O194" s="385">
        <v>0</v>
      </c>
      <c r="P194" s="385">
        <v>0</v>
      </c>
      <c r="Q194" s="385">
        <v>0</v>
      </c>
      <c r="R194" s="385">
        <f>SUM(F194:Q194)</f>
        <v>0</v>
      </c>
      <c r="S194" s="385">
        <f>D194-R194</f>
        <v>0</v>
      </c>
    </row>
    <row r="195" spans="1:19" ht="36" customHeight="1" x14ac:dyDescent="0.2">
      <c r="A195" s="428" t="s">
        <v>308</v>
      </c>
      <c r="B195" s="429" t="s">
        <v>309</v>
      </c>
      <c r="C195" s="430"/>
      <c r="D195" s="430"/>
      <c r="E195" s="431"/>
      <c r="F195" s="431"/>
      <c r="G195" s="431"/>
      <c r="H195" s="431"/>
      <c r="I195" s="431"/>
      <c r="J195" s="431"/>
      <c r="K195" s="431"/>
      <c r="L195" s="431"/>
      <c r="M195" s="431"/>
      <c r="N195" s="431"/>
      <c r="O195" s="431"/>
      <c r="P195" s="431"/>
      <c r="Q195" s="431"/>
      <c r="R195" s="431"/>
      <c r="S195" s="431"/>
    </row>
    <row r="196" spans="1:19" ht="19.5" customHeight="1" x14ac:dyDescent="0.2">
      <c r="A196" s="432"/>
      <c r="B196" s="433" t="s">
        <v>503</v>
      </c>
      <c r="C196" s="434">
        <f>C197+C201+C202+C203</f>
        <v>680000000</v>
      </c>
      <c r="D196" s="434">
        <f>D197+D201+D202+D203</f>
        <v>643384077</v>
      </c>
      <c r="E196" s="434">
        <f t="shared" ref="E196:S196" si="87">E197+E201+E202+E203</f>
        <v>0</v>
      </c>
      <c r="F196" s="434">
        <f t="shared" si="87"/>
        <v>53269132.220000006</v>
      </c>
      <c r="G196" s="434">
        <f t="shared" si="87"/>
        <v>53966198.959999993</v>
      </c>
      <c r="H196" s="434">
        <f t="shared" si="87"/>
        <v>53541634.849999987</v>
      </c>
      <c r="I196" s="434">
        <f t="shared" si="87"/>
        <v>53440439.75000003</v>
      </c>
      <c r="J196" s="434">
        <f t="shared" si="87"/>
        <v>53704927.349999979</v>
      </c>
      <c r="K196" s="434">
        <f t="shared" si="87"/>
        <v>53281510.110000014</v>
      </c>
      <c r="L196" s="434">
        <f t="shared" si="87"/>
        <v>53420112.419999979</v>
      </c>
      <c r="M196" s="434">
        <f t="shared" si="87"/>
        <v>53176042.06000004</v>
      </c>
      <c r="N196" s="434">
        <f>N197+N201+N202+N203</f>
        <v>52829217.329999968</v>
      </c>
      <c r="O196" s="434">
        <f t="shared" si="87"/>
        <v>53197061.910000011</v>
      </c>
      <c r="P196" s="434">
        <f t="shared" si="87"/>
        <v>55263850.930000052</v>
      </c>
      <c r="Q196" s="434">
        <f t="shared" si="87"/>
        <v>54259222.030000001</v>
      </c>
      <c r="R196" s="434">
        <f t="shared" si="87"/>
        <v>643349349.92000008</v>
      </c>
      <c r="S196" s="434">
        <f t="shared" si="87"/>
        <v>34727.079999942798</v>
      </c>
    </row>
    <row r="197" spans="1:19" ht="19.5" customHeight="1" x14ac:dyDescent="0.2">
      <c r="A197" s="432"/>
      <c r="B197" s="433" t="s">
        <v>34</v>
      </c>
      <c r="C197" s="434">
        <f>SUM(C198:C200)</f>
        <v>680000000</v>
      </c>
      <c r="D197" s="434">
        <f>SUM(D198:D200)</f>
        <v>640696000</v>
      </c>
      <c r="E197" s="434">
        <f t="shared" ref="E197:S197" si="88">SUM(E198:E200)</f>
        <v>0</v>
      </c>
      <c r="F197" s="434">
        <f t="shared" si="88"/>
        <v>53269132.220000006</v>
      </c>
      <c r="G197" s="434">
        <f t="shared" si="88"/>
        <v>53487148.129999995</v>
      </c>
      <c r="H197" s="434">
        <f t="shared" si="88"/>
        <v>53296264.149999984</v>
      </c>
      <c r="I197" s="434">
        <f t="shared" si="88"/>
        <v>53233305.120000027</v>
      </c>
      <c r="J197" s="434">
        <f t="shared" si="88"/>
        <v>53480314.359999977</v>
      </c>
      <c r="K197" s="434">
        <f t="shared" si="88"/>
        <v>53281510.110000014</v>
      </c>
      <c r="L197" s="434">
        <f t="shared" si="88"/>
        <v>53217019.829999976</v>
      </c>
      <c r="M197" s="434">
        <f t="shared" si="88"/>
        <v>52962171.170000039</v>
      </c>
      <c r="N197" s="434">
        <f t="shared" si="88"/>
        <v>52829217.329999968</v>
      </c>
      <c r="O197" s="434">
        <f t="shared" si="88"/>
        <v>53197061.910000011</v>
      </c>
      <c r="P197" s="434">
        <f t="shared" si="88"/>
        <v>54593594.670000054</v>
      </c>
      <c r="Q197" s="434">
        <f t="shared" si="88"/>
        <v>53815087.57</v>
      </c>
      <c r="R197" s="434">
        <f t="shared" si="88"/>
        <v>640661826.57000005</v>
      </c>
      <c r="S197" s="434">
        <f t="shared" si="88"/>
        <v>34173.429999942891</v>
      </c>
    </row>
    <row r="198" spans="1:19" ht="19.5" customHeight="1" x14ac:dyDescent="0.2">
      <c r="A198" s="432"/>
      <c r="B198" s="433" t="s">
        <v>36</v>
      </c>
      <c r="C198" s="435">
        <v>4200000</v>
      </c>
      <c r="D198" s="435">
        <v>2063500</v>
      </c>
      <c r="E198" s="435"/>
      <c r="F198" s="435">
        <v>129649.34</v>
      </c>
      <c r="G198" s="435">
        <v>147979.23000000001</v>
      </c>
      <c r="H198" s="435">
        <v>140010.26</v>
      </c>
      <c r="I198" s="435">
        <v>142809.93</v>
      </c>
      <c r="J198" s="435">
        <v>122689.17999999993</v>
      </c>
      <c r="K198" s="435">
        <v>134550.09000000008</v>
      </c>
      <c r="L198" s="435">
        <v>151316.12</v>
      </c>
      <c r="M198" s="435">
        <v>203227.21000000008</v>
      </c>
      <c r="N198" s="435">
        <v>206747.85999999987</v>
      </c>
      <c r="O198" s="435">
        <v>219409.80000000005</v>
      </c>
      <c r="P198" s="435">
        <v>196504.54000000004</v>
      </c>
      <c r="Q198" s="435">
        <v>244488.56999999983</v>
      </c>
      <c r="R198" s="435">
        <f t="shared" ref="R198:R203" si="89">SUM(F198:Q198)</f>
        <v>2039382.13</v>
      </c>
      <c r="S198" s="435">
        <f t="shared" ref="S198:S203" si="90">D198-R198</f>
        <v>24117.870000000112</v>
      </c>
    </row>
    <row r="199" spans="1:19" ht="19.5" customHeight="1" x14ac:dyDescent="0.2">
      <c r="A199" s="432"/>
      <c r="B199" s="433" t="s">
        <v>39</v>
      </c>
      <c r="C199" s="435">
        <v>675800000</v>
      </c>
      <c r="D199" s="435">
        <f>641319677-D203</f>
        <v>638631600</v>
      </c>
      <c r="E199" s="435"/>
      <c r="F199" s="435">
        <v>53139482.880000003</v>
      </c>
      <c r="G199" s="435">
        <v>53339168.899999999</v>
      </c>
      <c r="H199" s="435">
        <v>53156203.889999986</v>
      </c>
      <c r="I199" s="435">
        <v>53090495.190000027</v>
      </c>
      <c r="J199" s="435">
        <v>53357575.179999977</v>
      </c>
      <c r="K199" s="435">
        <v>53146760.020000011</v>
      </c>
      <c r="L199" s="435">
        <v>53065653.709999979</v>
      </c>
      <c r="M199" s="435">
        <v>52758943.960000038</v>
      </c>
      <c r="N199" s="435">
        <v>52622469.469999969</v>
      </c>
      <c r="O199" s="435">
        <v>52977252.110000014</v>
      </c>
      <c r="P199" s="435">
        <v>54396940.130000055</v>
      </c>
      <c r="Q199" s="435">
        <v>53570599</v>
      </c>
      <c r="R199" s="435">
        <f t="shared" si="89"/>
        <v>638621544.44000006</v>
      </c>
      <c r="S199" s="435">
        <f t="shared" si="90"/>
        <v>10055.55999994278</v>
      </c>
    </row>
    <row r="200" spans="1:19" ht="19.5" customHeight="1" x14ac:dyDescent="0.2">
      <c r="A200" s="432"/>
      <c r="B200" s="433" t="s">
        <v>40</v>
      </c>
      <c r="C200" s="435"/>
      <c r="D200" s="435">
        <v>900</v>
      </c>
      <c r="E200" s="435"/>
      <c r="F200" s="435"/>
      <c r="G200" s="435">
        <v>0</v>
      </c>
      <c r="H200" s="435">
        <v>50</v>
      </c>
      <c r="I200" s="435">
        <v>0</v>
      </c>
      <c r="J200" s="435">
        <v>50</v>
      </c>
      <c r="K200" s="435">
        <v>200</v>
      </c>
      <c r="L200" s="435">
        <v>50</v>
      </c>
      <c r="M200" s="435">
        <v>0</v>
      </c>
      <c r="N200" s="435">
        <v>0</v>
      </c>
      <c r="O200" s="435">
        <v>400</v>
      </c>
      <c r="P200" s="435">
        <v>150</v>
      </c>
      <c r="Q200" s="435">
        <v>0</v>
      </c>
      <c r="R200" s="435">
        <f t="shared" si="89"/>
        <v>900</v>
      </c>
      <c r="S200" s="435">
        <f t="shared" si="90"/>
        <v>0</v>
      </c>
    </row>
    <row r="201" spans="1:19" s="382" customFormat="1" ht="19.5" customHeight="1" x14ac:dyDescent="0.25">
      <c r="A201" s="436"/>
      <c r="B201" s="437" t="s">
        <v>43</v>
      </c>
      <c r="C201" s="434"/>
      <c r="D201" s="434"/>
      <c r="E201" s="434"/>
      <c r="F201" s="434"/>
      <c r="G201" s="434">
        <v>0</v>
      </c>
      <c r="H201" s="434">
        <v>0</v>
      </c>
      <c r="I201" s="434">
        <v>0</v>
      </c>
      <c r="J201" s="434">
        <v>0</v>
      </c>
      <c r="K201" s="434">
        <v>0</v>
      </c>
      <c r="L201" s="434">
        <v>0</v>
      </c>
      <c r="M201" s="434">
        <v>0</v>
      </c>
      <c r="N201" s="434">
        <v>0</v>
      </c>
      <c r="O201" s="434">
        <v>0</v>
      </c>
      <c r="P201" s="434">
        <v>0</v>
      </c>
      <c r="Q201" s="434">
        <v>0</v>
      </c>
      <c r="R201" s="434">
        <f t="shared" si="89"/>
        <v>0</v>
      </c>
      <c r="S201" s="434">
        <f t="shared" si="90"/>
        <v>0</v>
      </c>
    </row>
    <row r="202" spans="1:19" s="382" customFormat="1" ht="19.5" customHeight="1" x14ac:dyDescent="0.25">
      <c r="A202" s="436"/>
      <c r="B202" s="437" t="s">
        <v>505</v>
      </c>
      <c r="C202" s="434"/>
      <c r="D202" s="434"/>
      <c r="E202" s="434"/>
      <c r="F202" s="434"/>
      <c r="G202" s="434">
        <v>0</v>
      </c>
      <c r="H202" s="434">
        <v>0</v>
      </c>
      <c r="I202" s="434">
        <v>0</v>
      </c>
      <c r="J202" s="434">
        <v>0</v>
      </c>
      <c r="K202" s="434">
        <v>0</v>
      </c>
      <c r="L202" s="434">
        <v>0</v>
      </c>
      <c r="M202" s="434">
        <v>0</v>
      </c>
      <c r="N202" s="434">
        <v>0</v>
      </c>
      <c r="O202" s="434">
        <v>0</v>
      </c>
      <c r="P202" s="434">
        <v>0</v>
      </c>
      <c r="Q202" s="434">
        <v>0</v>
      </c>
      <c r="R202" s="434">
        <f t="shared" si="89"/>
        <v>0</v>
      </c>
      <c r="S202" s="434">
        <f t="shared" si="90"/>
        <v>0</v>
      </c>
    </row>
    <row r="203" spans="1:19" s="382" customFormat="1" ht="19.5" customHeight="1" x14ac:dyDescent="0.25">
      <c r="A203" s="436"/>
      <c r="B203" s="429" t="s">
        <v>506</v>
      </c>
      <c r="C203" s="434"/>
      <c r="D203" s="434">
        <v>2688077</v>
      </c>
      <c r="E203" s="431"/>
      <c r="F203" s="431"/>
      <c r="G203" s="431">
        <v>479050.83</v>
      </c>
      <c r="H203" s="431">
        <v>245370.7</v>
      </c>
      <c r="I203" s="431">
        <v>207134.63</v>
      </c>
      <c r="J203" s="431">
        <v>224612.98999999987</v>
      </c>
      <c r="K203" s="431">
        <v>0</v>
      </c>
      <c r="L203" s="431">
        <v>203092.59000000008</v>
      </c>
      <c r="M203" s="431">
        <v>213870.89</v>
      </c>
      <c r="N203" s="431">
        <v>0</v>
      </c>
      <c r="O203" s="431">
        <v>0</v>
      </c>
      <c r="P203" s="431">
        <v>670256.26000000024</v>
      </c>
      <c r="Q203" s="431">
        <v>444134.46</v>
      </c>
      <c r="R203" s="431">
        <f t="shared" si="89"/>
        <v>2687523.35</v>
      </c>
      <c r="S203" s="434">
        <f t="shared" si="90"/>
        <v>553.64999999990687</v>
      </c>
    </row>
    <row r="204" spans="1:19" ht="38.25" customHeight="1" x14ac:dyDescent="0.2">
      <c r="A204" s="405" t="s">
        <v>550</v>
      </c>
      <c r="B204" s="406" t="s">
        <v>551</v>
      </c>
      <c r="C204" s="423"/>
      <c r="D204" s="423"/>
      <c r="E204" s="424"/>
      <c r="F204" s="424"/>
      <c r="G204" s="424"/>
      <c r="H204" s="424"/>
      <c r="I204" s="424"/>
      <c r="J204" s="424"/>
      <c r="K204" s="424"/>
      <c r="L204" s="424"/>
      <c r="M204" s="424"/>
      <c r="N204" s="424"/>
      <c r="O204" s="424"/>
      <c r="P204" s="424"/>
      <c r="Q204" s="424"/>
      <c r="R204" s="424"/>
      <c r="S204" s="423"/>
    </row>
    <row r="205" spans="1:19" s="382" customFormat="1" ht="19.5" customHeight="1" x14ac:dyDescent="0.25">
      <c r="A205" s="412"/>
      <c r="B205" s="406" t="s">
        <v>503</v>
      </c>
      <c r="C205" s="407">
        <f t="shared" ref="C205:S205" si="91">SUM(C206)</f>
        <v>28200000</v>
      </c>
      <c r="D205" s="407">
        <f t="shared" si="91"/>
        <v>26702150</v>
      </c>
      <c r="E205" s="407">
        <f t="shared" si="91"/>
        <v>0</v>
      </c>
      <c r="F205" s="407">
        <f t="shared" si="91"/>
        <v>1042542.88</v>
      </c>
      <c r="G205" s="407">
        <f t="shared" si="91"/>
        <v>2014364.5299999998</v>
      </c>
      <c r="H205" s="407">
        <f t="shared" si="91"/>
        <v>1904718.48</v>
      </c>
      <c r="I205" s="407">
        <f t="shared" si="91"/>
        <v>3125579.49</v>
      </c>
      <c r="J205" s="407">
        <f t="shared" si="91"/>
        <v>2173101.21</v>
      </c>
      <c r="K205" s="407">
        <f t="shared" si="91"/>
        <v>2240901.27</v>
      </c>
      <c r="L205" s="407">
        <f t="shared" si="91"/>
        <v>2000341.5</v>
      </c>
      <c r="M205" s="407">
        <f t="shared" si="91"/>
        <v>2503597.09</v>
      </c>
      <c r="N205" s="407">
        <f t="shared" si="91"/>
        <v>1991718.0999999999</v>
      </c>
      <c r="O205" s="407">
        <f t="shared" si="91"/>
        <v>2070928.23</v>
      </c>
      <c r="P205" s="407">
        <f t="shared" si="91"/>
        <v>1895013.1899999997</v>
      </c>
      <c r="Q205" s="407">
        <f t="shared" si="91"/>
        <v>3537945.3</v>
      </c>
      <c r="R205" s="407">
        <f t="shared" si="91"/>
        <v>26500751.27</v>
      </c>
      <c r="S205" s="407">
        <f t="shared" si="91"/>
        <v>201398.73000000074</v>
      </c>
    </row>
    <row r="206" spans="1:19" s="382" customFormat="1" ht="19.5" customHeight="1" x14ac:dyDescent="0.25">
      <c r="A206" s="412"/>
      <c r="B206" s="406" t="s">
        <v>34</v>
      </c>
      <c r="C206" s="407">
        <f t="shared" ref="C206:S206" si="92">SUM(C207:C209)</f>
        <v>28200000</v>
      </c>
      <c r="D206" s="407">
        <f t="shared" si="92"/>
        <v>26702150</v>
      </c>
      <c r="E206" s="407">
        <f t="shared" si="92"/>
        <v>0</v>
      </c>
      <c r="F206" s="407">
        <f t="shared" si="92"/>
        <v>1042542.88</v>
      </c>
      <c r="G206" s="407">
        <f t="shared" si="92"/>
        <v>2014364.5299999998</v>
      </c>
      <c r="H206" s="407">
        <f t="shared" si="92"/>
        <v>1904718.48</v>
      </c>
      <c r="I206" s="407">
        <f t="shared" si="92"/>
        <v>3125579.49</v>
      </c>
      <c r="J206" s="407">
        <f t="shared" si="92"/>
        <v>2173101.21</v>
      </c>
      <c r="K206" s="407">
        <f t="shared" si="92"/>
        <v>2240901.27</v>
      </c>
      <c r="L206" s="407">
        <f t="shared" si="92"/>
        <v>2000341.5</v>
      </c>
      <c r="M206" s="407">
        <f t="shared" si="92"/>
        <v>2503597.09</v>
      </c>
      <c r="N206" s="407">
        <f t="shared" si="92"/>
        <v>1991718.0999999999</v>
      </c>
      <c r="O206" s="407">
        <f t="shared" si="92"/>
        <v>2070928.23</v>
      </c>
      <c r="P206" s="407">
        <f t="shared" si="92"/>
        <v>1895013.1899999997</v>
      </c>
      <c r="Q206" s="407">
        <f t="shared" si="92"/>
        <v>3537945.3</v>
      </c>
      <c r="R206" s="407">
        <f t="shared" si="92"/>
        <v>26500751.27</v>
      </c>
      <c r="S206" s="407">
        <f t="shared" si="92"/>
        <v>201398.73000000074</v>
      </c>
    </row>
    <row r="207" spans="1:19" ht="19.5" customHeight="1" x14ac:dyDescent="0.2">
      <c r="A207" s="408"/>
      <c r="B207" s="409" t="s">
        <v>36</v>
      </c>
      <c r="C207" s="438">
        <f>C213+C255</f>
        <v>810000</v>
      </c>
      <c r="D207" s="438">
        <f>D213+D255</f>
        <v>758400</v>
      </c>
      <c r="E207" s="438">
        <f t="shared" ref="E207:S207" si="93">E213+E255</f>
        <v>0</v>
      </c>
      <c r="F207" s="438">
        <f t="shared" si="93"/>
        <v>61458</v>
      </c>
      <c r="G207" s="438">
        <f t="shared" si="93"/>
        <v>59629</v>
      </c>
      <c r="H207" s="438">
        <f t="shared" si="93"/>
        <v>58335</v>
      </c>
      <c r="I207" s="438">
        <f t="shared" si="93"/>
        <v>63520</v>
      </c>
      <c r="J207" s="438">
        <f t="shared" si="93"/>
        <v>62159</v>
      </c>
      <c r="K207" s="438">
        <f t="shared" si="93"/>
        <v>64479</v>
      </c>
      <c r="L207" s="438">
        <f t="shared" si="93"/>
        <v>64378</v>
      </c>
      <c r="M207" s="438">
        <f t="shared" si="93"/>
        <v>60913</v>
      </c>
      <c r="N207" s="438">
        <f>N213+N255</f>
        <v>62981</v>
      </c>
      <c r="O207" s="438">
        <f t="shared" si="93"/>
        <v>63537</v>
      </c>
      <c r="P207" s="438">
        <f t="shared" si="93"/>
        <v>65138</v>
      </c>
      <c r="Q207" s="438">
        <f t="shared" si="93"/>
        <v>61814</v>
      </c>
      <c r="R207" s="438">
        <f>R213+R255</f>
        <v>748341</v>
      </c>
      <c r="S207" s="438">
        <f t="shared" si="93"/>
        <v>10059</v>
      </c>
    </row>
    <row r="208" spans="1:19" ht="19.5" customHeight="1" x14ac:dyDescent="0.2">
      <c r="A208" s="408"/>
      <c r="B208" s="409" t="s">
        <v>39</v>
      </c>
      <c r="C208" s="438">
        <f t="shared" ref="C208:S208" si="94">C214+C219+C223+C227+C231+C239+C243+C247+C251+C259+C263+C267</f>
        <v>23290000</v>
      </c>
      <c r="D208" s="438">
        <f t="shared" si="94"/>
        <v>21279950</v>
      </c>
      <c r="E208" s="438">
        <f t="shared" si="94"/>
        <v>0</v>
      </c>
      <c r="F208" s="438">
        <f t="shared" si="94"/>
        <v>981084.88</v>
      </c>
      <c r="G208" s="438">
        <f t="shared" si="94"/>
        <v>1948069.13</v>
      </c>
      <c r="H208" s="438">
        <f t="shared" si="94"/>
        <v>1660738.08</v>
      </c>
      <c r="I208" s="438">
        <f t="shared" si="94"/>
        <v>1699977.53</v>
      </c>
      <c r="J208" s="438">
        <f t="shared" si="94"/>
        <v>1730615.93</v>
      </c>
      <c r="K208" s="438">
        <f t="shared" si="94"/>
        <v>1779028.75</v>
      </c>
      <c r="L208" s="438">
        <f t="shared" si="94"/>
        <v>1508275.98</v>
      </c>
      <c r="M208" s="438">
        <f t="shared" si="94"/>
        <v>2086581.5899999999</v>
      </c>
      <c r="N208" s="438">
        <f t="shared" si="94"/>
        <v>1751609.26</v>
      </c>
      <c r="O208" s="438">
        <f t="shared" si="94"/>
        <v>1846780.21</v>
      </c>
      <c r="P208" s="438">
        <f t="shared" si="94"/>
        <v>1633094.0799999998</v>
      </c>
      <c r="Q208" s="438">
        <f t="shared" si="94"/>
        <v>2533522.08</v>
      </c>
      <c r="R208" s="438">
        <f>R214+R219+R223+R227+R231+R239+R243+R247+R251+R259+R263+R267</f>
        <v>21159377.5</v>
      </c>
      <c r="S208" s="438">
        <f t="shared" si="94"/>
        <v>120572.50000000029</v>
      </c>
    </row>
    <row r="209" spans="1:19" ht="19.5" customHeight="1" x14ac:dyDescent="0.2">
      <c r="A209" s="408"/>
      <c r="B209" s="409" t="s">
        <v>40</v>
      </c>
      <c r="C209" s="438">
        <f>C215+C235</f>
        <v>4100000</v>
      </c>
      <c r="D209" s="438">
        <f>D215+D235</f>
        <v>4663800</v>
      </c>
      <c r="E209" s="438">
        <f t="shared" ref="E209:S209" si="95">E215+E235</f>
        <v>0</v>
      </c>
      <c r="F209" s="438">
        <f t="shared" si="95"/>
        <v>0</v>
      </c>
      <c r="G209" s="438">
        <f t="shared" si="95"/>
        <v>6666.4</v>
      </c>
      <c r="H209" s="438">
        <f t="shared" si="95"/>
        <v>185645.4</v>
      </c>
      <c r="I209" s="438">
        <f t="shared" si="95"/>
        <v>1362081.96</v>
      </c>
      <c r="J209" s="438">
        <f t="shared" si="95"/>
        <v>380326.28</v>
      </c>
      <c r="K209" s="438">
        <f t="shared" si="95"/>
        <v>397393.52</v>
      </c>
      <c r="L209" s="438">
        <f t="shared" si="95"/>
        <v>427687.52</v>
      </c>
      <c r="M209" s="438">
        <f t="shared" si="95"/>
        <v>356102.5</v>
      </c>
      <c r="N209" s="438">
        <f t="shared" si="95"/>
        <v>177127.83999999985</v>
      </c>
      <c r="O209" s="438">
        <f t="shared" si="95"/>
        <v>160611.02000000002</v>
      </c>
      <c r="P209" s="438">
        <f t="shared" si="95"/>
        <v>196781.10999999987</v>
      </c>
      <c r="Q209" s="438">
        <f t="shared" si="95"/>
        <v>942609.21999999974</v>
      </c>
      <c r="R209" s="438">
        <f>R215+R235</f>
        <v>4593032.7699999996</v>
      </c>
      <c r="S209" s="438">
        <f t="shared" si="95"/>
        <v>70767.230000000447</v>
      </c>
    </row>
    <row r="210" spans="1:19" ht="64.5" customHeight="1" x14ac:dyDescent="0.2">
      <c r="A210" s="413" t="s">
        <v>310</v>
      </c>
      <c r="B210" s="414" t="s">
        <v>552</v>
      </c>
      <c r="C210" s="439"/>
      <c r="D210" s="439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</row>
    <row r="211" spans="1:19" ht="19.5" customHeight="1" x14ac:dyDescent="0.2">
      <c r="A211" s="383"/>
      <c r="B211" s="400" t="s">
        <v>503</v>
      </c>
      <c r="C211" s="416">
        <f t="shared" ref="C211:S211" si="96">SUM(C212)</f>
        <v>1800000</v>
      </c>
      <c r="D211" s="416">
        <f t="shared" si="96"/>
        <v>1773230</v>
      </c>
      <c r="E211" s="416">
        <f t="shared" si="96"/>
        <v>0</v>
      </c>
      <c r="F211" s="416">
        <f t="shared" si="96"/>
        <v>0</v>
      </c>
      <c r="G211" s="416">
        <f t="shared" si="96"/>
        <v>148988.92000000001</v>
      </c>
      <c r="H211" s="416">
        <f t="shared" si="96"/>
        <v>73895.989999999991</v>
      </c>
      <c r="I211" s="416">
        <f t="shared" si="96"/>
        <v>75535.350000000006</v>
      </c>
      <c r="J211" s="416">
        <f t="shared" si="96"/>
        <v>77845.270000000019</v>
      </c>
      <c r="K211" s="416">
        <f t="shared" si="96"/>
        <v>0</v>
      </c>
      <c r="L211" s="416">
        <f t="shared" si="96"/>
        <v>282366.67999999993</v>
      </c>
      <c r="M211" s="416">
        <f t="shared" si="96"/>
        <v>111754.51000000001</v>
      </c>
      <c r="N211" s="416">
        <f t="shared" si="96"/>
        <v>33875.510000000009</v>
      </c>
      <c r="O211" s="416">
        <f t="shared" si="96"/>
        <v>74035.330000000075</v>
      </c>
      <c r="P211" s="416">
        <f t="shared" si="96"/>
        <v>239313.83999999997</v>
      </c>
      <c r="Q211" s="416">
        <f t="shared" si="96"/>
        <v>581568.1</v>
      </c>
      <c r="R211" s="416">
        <f t="shared" si="96"/>
        <v>1699179.5</v>
      </c>
      <c r="S211" s="416">
        <f t="shared" si="96"/>
        <v>74050.5</v>
      </c>
    </row>
    <row r="212" spans="1:19" ht="19.5" customHeight="1" x14ac:dyDescent="0.2">
      <c r="A212" s="383"/>
      <c r="B212" s="400" t="s">
        <v>34</v>
      </c>
      <c r="C212" s="416">
        <f>SUM(C213:C215)</f>
        <v>1800000</v>
      </c>
      <c r="D212" s="416">
        <f>SUM(D213:D215)</f>
        <v>1773230</v>
      </c>
      <c r="E212" s="416">
        <f t="shared" ref="E212:S212" si="97">SUM(E213:E215)</f>
        <v>0</v>
      </c>
      <c r="F212" s="417">
        <f t="shared" si="97"/>
        <v>0</v>
      </c>
      <c r="G212" s="417">
        <f t="shared" si="97"/>
        <v>148988.92000000001</v>
      </c>
      <c r="H212" s="417">
        <f t="shared" si="97"/>
        <v>73895.989999999991</v>
      </c>
      <c r="I212" s="417">
        <f t="shared" si="97"/>
        <v>75535.350000000006</v>
      </c>
      <c r="J212" s="417">
        <f t="shared" si="97"/>
        <v>77845.270000000019</v>
      </c>
      <c r="K212" s="417">
        <f t="shared" si="97"/>
        <v>0</v>
      </c>
      <c r="L212" s="417">
        <f t="shared" si="97"/>
        <v>282366.67999999993</v>
      </c>
      <c r="M212" s="417">
        <f t="shared" si="97"/>
        <v>111754.51000000001</v>
      </c>
      <c r="N212" s="417">
        <f t="shared" si="97"/>
        <v>33875.510000000009</v>
      </c>
      <c r="O212" s="417">
        <f t="shared" si="97"/>
        <v>74035.330000000075</v>
      </c>
      <c r="P212" s="417">
        <f t="shared" si="97"/>
        <v>239313.83999999997</v>
      </c>
      <c r="Q212" s="417">
        <f t="shared" si="97"/>
        <v>581568.1</v>
      </c>
      <c r="R212" s="417">
        <f t="shared" si="97"/>
        <v>1699179.5</v>
      </c>
      <c r="S212" s="417">
        <f t="shared" si="97"/>
        <v>74050.5</v>
      </c>
    </row>
    <row r="213" spans="1:19" ht="19.5" customHeight="1" x14ac:dyDescent="0.2">
      <c r="A213" s="383"/>
      <c r="B213" s="400" t="s">
        <v>36</v>
      </c>
      <c r="C213" s="420">
        <v>10000</v>
      </c>
      <c r="D213" s="420">
        <v>10000</v>
      </c>
      <c r="E213" s="420"/>
      <c r="F213" s="420"/>
      <c r="G213" s="420">
        <v>0</v>
      </c>
      <c r="H213" s="420">
        <v>0</v>
      </c>
      <c r="I213" s="420">
        <v>0</v>
      </c>
      <c r="J213" s="420">
        <v>0</v>
      </c>
      <c r="K213" s="420"/>
      <c r="L213" s="420">
        <v>0</v>
      </c>
      <c r="M213" s="420">
        <v>0</v>
      </c>
      <c r="N213" s="420">
        <v>0</v>
      </c>
      <c r="O213" s="420">
        <v>0</v>
      </c>
      <c r="P213" s="420">
        <v>0</v>
      </c>
      <c r="Q213" s="420">
        <v>0</v>
      </c>
      <c r="R213" s="440">
        <f>SUM(F213:Q213)</f>
        <v>0</v>
      </c>
      <c r="S213" s="385">
        <f>D213-R213</f>
        <v>10000</v>
      </c>
    </row>
    <row r="214" spans="1:19" ht="19.5" customHeight="1" x14ac:dyDescent="0.2">
      <c r="A214" s="383"/>
      <c r="B214" s="400" t="s">
        <v>39</v>
      </c>
      <c r="C214" s="385">
        <v>1790000</v>
      </c>
      <c r="D214" s="385">
        <v>1648230</v>
      </c>
      <c r="E214" s="403"/>
      <c r="F214" s="403"/>
      <c r="G214" s="403">
        <v>148988.92000000001</v>
      </c>
      <c r="H214" s="403">
        <v>73895.989999999991</v>
      </c>
      <c r="I214" s="403">
        <v>75535.350000000006</v>
      </c>
      <c r="J214" s="403">
        <v>77845.270000000019</v>
      </c>
      <c r="K214" s="403"/>
      <c r="L214" s="403">
        <v>208219.67999999993</v>
      </c>
      <c r="M214" s="403">
        <v>111754.51000000001</v>
      </c>
      <c r="N214" s="403">
        <v>33875.510000000009</v>
      </c>
      <c r="O214" s="403">
        <v>74035.330000000075</v>
      </c>
      <c r="P214" s="403">
        <v>239313.83999999997</v>
      </c>
      <c r="Q214" s="403">
        <v>542298.1</v>
      </c>
      <c r="R214" s="440">
        <f>SUM(F214:Q214)</f>
        <v>1585762.5</v>
      </c>
      <c r="S214" s="385">
        <f>D214-R214</f>
        <v>62467.5</v>
      </c>
    </row>
    <row r="215" spans="1:19" ht="19.5" customHeight="1" x14ac:dyDescent="0.2">
      <c r="A215" s="383"/>
      <c r="B215" s="400" t="s">
        <v>40</v>
      </c>
      <c r="C215" s="385"/>
      <c r="D215" s="385">
        <v>115000</v>
      </c>
      <c r="E215" s="403"/>
      <c r="F215" s="403"/>
      <c r="G215" s="403"/>
      <c r="H215" s="403"/>
      <c r="I215" s="403"/>
      <c r="J215" s="403"/>
      <c r="K215" s="403"/>
      <c r="L215" s="403">
        <v>74147</v>
      </c>
      <c r="M215" s="403">
        <v>0</v>
      </c>
      <c r="N215" s="403">
        <v>0</v>
      </c>
      <c r="O215" s="403">
        <v>0</v>
      </c>
      <c r="P215" s="403">
        <v>0</v>
      </c>
      <c r="Q215" s="403">
        <v>39270</v>
      </c>
      <c r="R215" s="440">
        <f>SUM(F215:Q215)</f>
        <v>113417</v>
      </c>
      <c r="S215" s="385">
        <f>D215-R215</f>
        <v>1583</v>
      </c>
    </row>
    <row r="216" spans="1:19" ht="38.25" customHeight="1" x14ac:dyDescent="0.2">
      <c r="A216" s="413" t="s">
        <v>312</v>
      </c>
      <c r="B216" s="414" t="s">
        <v>553</v>
      </c>
      <c r="C216" s="419"/>
      <c r="D216" s="419"/>
      <c r="E216" s="415"/>
      <c r="F216" s="415"/>
      <c r="G216" s="415"/>
      <c r="H216" s="415"/>
      <c r="I216" s="415"/>
      <c r="J216" s="415"/>
      <c r="K216" s="415"/>
      <c r="L216" s="415"/>
      <c r="M216" s="415"/>
      <c r="N216" s="415"/>
      <c r="O216" s="415"/>
      <c r="P216" s="415"/>
      <c r="Q216" s="415"/>
      <c r="R216" s="415"/>
      <c r="S216" s="415"/>
    </row>
    <row r="217" spans="1:19" ht="19.5" customHeight="1" x14ac:dyDescent="0.2">
      <c r="A217" s="383"/>
      <c r="B217" s="400" t="s">
        <v>503</v>
      </c>
      <c r="C217" s="416">
        <f t="shared" ref="C217:R218" si="98">SUM(C218)</f>
        <v>1700000</v>
      </c>
      <c r="D217" s="416">
        <f t="shared" si="98"/>
        <v>1610190</v>
      </c>
      <c r="E217" s="416">
        <f t="shared" si="98"/>
        <v>0</v>
      </c>
      <c r="F217" s="416">
        <f t="shared" si="98"/>
        <v>0</v>
      </c>
      <c r="G217" s="416">
        <f t="shared" si="98"/>
        <v>207921.5</v>
      </c>
      <c r="H217" s="416">
        <f t="shared" si="98"/>
        <v>125060</v>
      </c>
      <c r="I217" s="416">
        <f t="shared" si="98"/>
        <v>0</v>
      </c>
      <c r="J217" s="416">
        <f t="shared" si="98"/>
        <v>139989.5</v>
      </c>
      <c r="K217" s="416">
        <f t="shared" si="98"/>
        <v>132978</v>
      </c>
      <c r="L217" s="416">
        <f t="shared" si="98"/>
        <v>274336.5</v>
      </c>
      <c r="M217" s="416">
        <f t="shared" si="98"/>
        <v>110537.5</v>
      </c>
      <c r="N217" s="416">
        <f t="shared" si="98"/>
        <v>135642</v>
      </c>
      <c r="O217" s="416">
        <f t="shared" si="98"/>
        <v>149961</v>
      </c>
      <c r="P217" s="416">
        <f t="shared" si="98"/>
        <v>163762</v>
      </c>
      <c r="Q217" s="416">
        <f t="shared" si="98"/>
        <v>165519.39999999991</v>
      </c>
      <c r="R217" s="416">
        <f t="shared" si="98"/>
        <v>1605707.4</v>
      </c>
      <c r="S217" s="416">
        <f>SUM(S218)</f>
        <v>4482.6000000000931</v>
      </c>
    </row>
    <row r="218" spans="1:19" ht="19.5" customHeight="1" x14ac:dyDescent="0.2">
      <c r="A218" s="383"/>
      <c r="B218" s="400" t="s">
        <v>34</v>
      </c>
      <c r="C218" s="417">
        <f t="shared" si="98"/>
        <v>1700000</v>
      </c>
      <c r="D218" s="417">
        <f t="shared" si="98"/>
        <v>1610190</v>
      </c>
      <c r="E218" s="417">
        <f t="shared" si="98"/>
        <v>0</v>
      </c>
      <c r="F218" s="417">
        <f t="shared" si="98"/>
        <v>0</v>
      </c>
      <c r="G218" s="417">
        <f t="shared" si="98"/>
        <v>207921.5</v>
      </c>
      <c r="H218" s="417">
        <f t="shared" si="98"/>
        <v>125060</v>
      </c>
      <c r="I218" s="417">
        <f t="shared" si="98"/>
        <v>0</v>
      </c>
      <c r="J218" s="417">
        <f t="shared" si="98"/>
        <v>139989.5</v>
      </c>
      <c r="K218" s="417">
        <f t="shared" si="98"/>
        <v>132978</v>
      </c>
      <c r="L218" s="417">
        <f t="shared" si="98"/>
        <v>274336.5</v>
      </c>
      <c r="M218" s="417">
        <f t="shared" si="98"/>
        <v>110537.5</v>
      </c>
      <c r="N218" s="417">
        <f t="shared" si="98"/>
        <v>135642</v>
      </c>
      <c r="O218" s="417">
        <f t="shared" si="98"/>
        <v>149961</v>
      </c>
      <c r="P218" s="417">
        <f t="shared" si="98"/>
        <v>163762</v>
      </c>
      <c r="Q218" s="417">
        <f t="shared" si="98"/>
        <v>165519.39999999991</v>
      </c>
      <c r="R218" s="417">
        <f t="shared" si="98"/>
        <v>1605707.4</v>
      </c>
      <c r="S218" s="417">
        <f>SUM(S219)</f>
        <v>4482.6000000000931</v>
      </c>
    </row>
    <row r="219" spans="1:19" ht="19.5" customHeight="1" x14ac:dyDescent="0.2">
      <c r="A219" s="383"/>
      <c r="B219" s="400" t="s">
        <v>39</v>
      </c>
      <c r="C219" s="385">
        <v>1700000</v>
      </c>
      <c r="D219" s="385">
        <v>1610190</v>
      </c>
      <c r="E219" s="403"/>
      <c r="F219" s="403"/>
      <c r="G219" s="403">
        <v>207921.5</v>
      </c>
      <c r="H219" s="403">
        <v>125060</v>
      </c>
      <c r="I219" s="403"/>
      <c r="J219" s="403">
        <v>139989.5</v>
      </c>
      <c r="K219" s="403">
        <v>132978</v>
      </c>
      <c r="L219" s="403">
        <v>274336.5</v>
      </c>
      <c r="M219" s="403">
        <v>110537.5</v>
      </c>
      <c r="N219" s="403">
        <v>135642</v>
      </c>
      <c r="O219" s="403">
        <v>149961</v>
      </c>
      <c r="P219" s="403">
        <v>163762</v>
      </c>
      <c r="Q219" s="403">
        <v>165519.39999999991</v>
      </c>
      <c r="R219" s="440">
        <f>SUM(F219:Q219)</f>
        <v>1605707.4</v>
      </c>
      <c r="S219" s="385">
        <f>D219-R219</f>
        <v>4482.6000000000931</v>
      </c>
    </row>
    <row r="220" spans="1:19" ht="48" customHeight="1" x14ac:dyDescent="0.2">
      <c r="A220" s="413" t="s">
        <v>314</v>
      </c>
      <c r="B220" s="414" t="s">
        <v>554</v>
      </c>
      <c r="C220" s="419"/>
      <c r="D220" s="419"/>
      <c r="E220" s="415"/>
      <c r="F220" s="415"/>
      <c r="G220" s="415"/>
      <c r="H220" s="415"/>
      <c r="I220" s="415"/>
      <c r="J220" s="415"/>
      <c r="K220" s="415"/>
      <c r="L220" s="415"/>
      <c r="M220" s="415"/>
      <c r="N220" s="415"/>
      <c r="O220" s="415"/>
      <c r="P220" s="415"/>
      <c r="Q220" s="415"/>
      <c r="R220" s="415"/>
      <c r="S220" s="415"/>
    </row>
    <row r="221" spans="1:19" ht="19.5" customHeight="1" x14ac:dyDescent="0.2">
      <c r="A221" s="383"/>
      <c r="B221" s="400" t="s">
        <v>503</v>
      </c>
      <c r="C221" s="416">
        <f t="shared" ref="C221:R222" si="99">SUM(C222)</f>
        <v>2950000</v>
      </c>
      <c r="D221" s="416">
        <f t="shared" si="99"/>
        <v>2305840</v>
      </c>
      <c r="E221" s="416">
        <f t="shared" si="99"/>
        <v>0</v>
      </c>
      <c r="F221" s="416">
        <f t="shared" si="99"/>
        <v>0</v>
      </c>
      <c r="G221" s="416">
        <f t="shared" si="99"/>
        <v>8258</v>
      </c>
      <c r="H221" s="416">
        <f t="shared" si="99"/>
        <v>224100</v>
      </c>
      <c r="I221" s="416">
        <f t="shared" si="99"/>
        <v>285227</v>
      </c>
      <c r="J221" s="416">
        <f t="shared" si="99"/>
        <v>221880</v>
      </c>
      <c r="K221" s="416">
        <f t="shared" si="99"/>
        <v>278606</v>
      </c>
      <c r="L221" s="416">
        <f t="shared" si="99"/>
        <v>0</v>
      </c>
      <c r="M221" s="416">
        <f t="shared" si="99"/>
        <v>541728</v>
      </c>
      <c r="N221" s="416">
        <f t="shared" si="99"/>
        <v>80022</v>
      </c>
      <c r="O221" s="416">
        <f t="shared" si="99"/>
        <v>277896</v>
      </c>
      <c r="P221" s="416">
        <f t="shared" si="99"/>
        <v>203118</v>
      </c>
      <c r="Q221" s="416">
        <f t="shared" si="99"/>
        <v>181153</v>
      </c>
      <c r="R221" s="416">
        <f t="shared" si="99"/>
        <v>2301988</v>
      </c>
      <c r="S221" s="416">
        <f>SUM(S222)</f>
        <v>3852</v>
      </c>
    </row>
    <row r="222" spans="1:19" ht="19.5" customHeight="1" x14ac:dyDescent="0.2">
      <c r="A222" s="383"/>
      <c r="B222" s="400" t="s">
        <v>34</v>
      </c>
      <c r="C222" s="417">
        <f t="shared" si="99"/>
        <v>2950000</v>
      </c>
      <c r="D222" s="417">
        <f t="shared" si="99"/>
        <v>2305840</v>
      </c>
      <c r="E222" s="417">
        <f t="shared" si="99"/>
        <v>0</v>
      </c>
      <c r="F222" s="417">
        <f t="shared" si="99"/>
        <v>0</v>
      </c>
      <c r="G222" s="417">
        <f t="shared" si="99"/>
        <v>8258</v>
      </c>
      <c r="H222" s="417">
        <f t="shared" si="99"/>
        <v>224100</v>
      </c>
      <c r="I222" s="417">
        <f t="shared" si="99"/>
        <v>285227</v>
      </c>
      <c r="J222" s="417">
        <f t="shared" si="99"/>
        <v>221880</v>
      </c>
      <c r="K222" s="417">
        <f t="shared" si="99"/>
        <v>278606</v>
      </c>
      <c r="L222" s="417">
        <f t="shared" si="99"/>
        <v>0</v>
      </c>
      <c r="M222" s="417">
        <f t="shared" si="99"/>
        <v>541728</v>
      </c>
      <c r="N222" s="417">
        <f t="shared" si="99"/>
        <v>80022</v>
      </c>
      <c r="O222" s="417">
        <f t="shared" si="99"/>
        <v>277896</v>
      </c>
      <c r="P222" s="417">
        <f t="shared" si="99"/>
        <v>203118</v>
      </c>
      <c r="Q222" s="417">
        <f t="shared" si="99"/>
        <v>181153</v>
      </c>
      <c r="R222" s="417">
        <f t="shared" si="99"/>
        <v>2301988</v>
      </c>
      <c r="S222" s="417">
        <f>SUM(S223)</f>
        <v>3852</v>
      </c>
    </row>
    <row r="223" spans="1:19" ht="19.5" customHeight="1" x14ac:dyDescent="0.2">
      <c r="A223" s="383"/>
      <c r="B223" s="400" t="s">
        <v>39</v>
      </c>
      <c r="C223" s="385">
        <v>2950000</v>
      </c>
      <c r="D223" s="385">
        <v>2305840</v>
      </c>
      <c r="E223" s="403"/>
      <c r="F223" s="403"/>
      <c r="G223" s="403">
        <v>8258</v>
      </c>
      <c r="H223" s="403">
        <v>224100</v>
      </c>
      <c r="I223" s="403">
        <v>285227</v>
      </c>
      <c r="J223" s="403">
        <v>221880</v>
      </c>
      <c r="K223" s="403">
        <v>278606</v>
      </c>
      <c r="L223" s="403">
        <v>0</v>
      </c>
      <c r="M223" s="403">
        <v>541728</v>
      </c>
      <c r="N223" s="403">
        <v>80022</v>
      </c>
      <c r="O223" s="403">
        <v>277896</v>
      </c>
      <c r="P223" s="403">
        <v>203118</v>
      </c>
      <c r="Q223" s="403">
        <v>181153</v>
      </c>
      <c r="R223" s="440">
        <f>SUM(F223:Q223)</f>
        <v>2301988</v>
      </c>
      <c r="S223" s="385">
        <f>D223-R223</f>
        <v>3852</v>
      </c>
    </row>
    <row r="224" spans="1:19" ht="40.5" customHeight="1" x14ac:dyDescent="0.2">
      <c r="A224" s="413" t="s">
        <v>555</v>
      </c>
      <c r="B224" s="414" t="s">
        <v>556</v>
      </c>
      <c r="C224" s="419"/>
      <c r="D224" s="419"/>
      <c r="E224" s="415"/>
      <c r="F224" s="415"/>
      <c r="G224" s="415"/>
      <c r="H224" s="415"/>
      <c r="I224" s="415"/>
      <c r="J224" s="415"/>
      <c r="K224" s="415"/>
      <c r="L224" s="415"/>
      <c r="M224" s="415"/>
      <c r="N224" s="415"/>
      <c r="O224" s="415"/>
      <c r="P224" s="415"/>
      <c r="Q224" s="415"/>
      <c r="R224" s="415"/>
      <c r="S224" s="415"/>
    </row>
    <row r="225" spans="1:19" ht="19.5" customHeight="1" x14ac:dyDescent="0.2">
      <c r="A225" s="383"/>
      <c r="B225" s="400" t="s">
        <v>503</v>
      </c>
      <c r="C225" s="416">
        <f t="shared" ref="C225:R226" si="100">SUM(C226)</f>
        <v>40000</v>
      </c>
      <c r="D225" s="416">
        <f t="shared" si="100"/>
        <v>15000</v>
      </c>
      <c r="E225" s="416">
        <f t="shared" si="100"/>
        <v>0</v>
      </c>
      <c r="F225" s="416">
        <f t="shared" si="100"/>
        <v>860</v>
      </c>
      <c r="G225" s="416">
        <f t="shared" si="100"/>
        <v>0</v>
      </c>
      <c r="H225" s="416">
        <f t="shared" si="100"/>
        <v>0</v>
      </c>
      <c r="I225" s="416">
        <f t="shared" si="100"/>
        <v>4724</v>
      </c>
      <c r="J225" s="416">
        <f t="shared" si="100"/>
        <v>2230</v>
      </c>
      <c r="K225" s="416">
        <f t="shared" si="100"/>
        <v>2236</v>
      </c>
      <c r="L225" s="416">
        <f t="shared" si="100"/>
        <v>0</v>
      </c>
      <c r="M225" s="416">
        <f t="shared" si="100"/>
        <v>1714</v>
      </c>
      <c r="N225" s="416">
        <f t="shared" si="100"/>
        <v>741</v>
      </c>
      <c r="O225" s="416">
        <f t="shared" si="100"/>
        <v>999</v>
      </c>
      <c r="P225" s="416">
        <f t="shared" si="100"/>
        <v>495</v>
      </c>
      <c r="Q225" s="416">
        <f t="shared" si="100"/>
        <v>745</v>
      </c>
      <c r="R225" s="416">
        <f t="shared" si="100"/>
        <v>14744</v>
      </c>
      <c r="S225" s="416">
        <f>SUM(S226)</f>
        <v>256</v>
      </c>
    </row>
    <row r="226" spans="1:19" ht="19.5" customHeight="1" x14ac:dyDescent="0.2">
      <c r="A226" s="383"/>
      <c r="B226" s="400" t="s">
        <v>34</v>
      </c>
      <c r="C226" s="417">
        <f t="shared" si="100"/>
        <v>40000</v>
      </c>
      <c r="D226" s="417">
        <f t="shared" si="100"/>
        <v>15000</v>
      </c>
      <c r="E226" s="417">
        <f t="shared" si="100"/>
        <v>0</v>
      </c>
      <c r="F226" s="417">
        <f t="shared" si="100"/>
        <v>860</v>
      </c>
      <c r="G226" s="417">
        <f t="shared" si="100"/>
        <v>0</v>
      </c>
      <c r="H226" s="417">
        <f t="shared" si="100"/>
        <v>0</v>
      </c>
      <c r="I226" s="417">
        <f t="shared" si="100"/>
        <v>4724</v>
      </c>
      <c r="J226" s="417">
        <f t="shared" si="100"/>
        <v>2230</v>
      </c>
      <c r="K226" s="417">
        <f t="shared" si="100"/>
        <v>2236</v>
      </c>
      <c r="L226" s="417">
        <f t="shared" si="100"/>
        <v>0</v>
      </c>
      <c r="M226" s="417">
        <f t="shared" si="100"/>
        <v>1714</v>
      </c>
      <c r="N226" s="417">
        <f t="shared" si="100"/>
        <v>741</v>
      </c>
      <c r="O226" s="417">
        <f t="shared" si="100"/>
        <v>999</v>
      </c>
      <c r="P226" s="417">
        <f t="shared" si="100"/>
        <v>495</v>
      </c>
      <c r="Q226" s="417">
        <f t="shared" si="100"/>
        <v>745</v>
      </c>
      <c r="R226" s="417">
        <f t="shared" si="100"/>
        <v>14744</v>
      </c>
      <c r="S226" s="417">
        <f>SUM(S227)</f>
        <v>256</v>
      </c>
    </row>
    <row r="227" spans="1:19" ht="19.5" customHeight="1" x14ac:dyDescent="0.2">
      <c r="A227" s="383"/>
      <c r="B227" s="400" t="s">
        <v>39</v>
      </c>
      <c r="C227" s="385">
        <v>40000</v>
      </c>
      <c r="D227" s="385">
        <v>15000</v>
      </c>
      <c r="E227" s="403"/>
      <c r="F227" s="403">
        <v>860</v>
      </c>
      <c r="G227" s="403">
        <v>0</v>
      </c>
      <c r="H227" s="403">
        <v>0</v>
      </c>
      <c r="I227" s="403">
        <v>4724</v>
      </c>
      <c r="J227" s="403">
        <v>2230</v>
      </c>
      <c r="K227" s="403">
        <v>2236</v>
      </c>
      <c r="L227" s="403">
        <v>0</v>
      </c>
      <c r="M227" s="403">
        <v>1714</v>
      </c>
      <c r="N227" s="403">
        <v>741</v>
      </c>
      <c r="O227" s="403">
        <v>999</v>
      </c>
      <c r="P227" s="403">
        <v>495</v>
      </c>
      <c r="Q227" s="403">
        <v>745</v>
      </c>
      <c r="R227" s="440">
        <f>SUM(F227:Q227)</f>
        <v>14744</v>
      </c>
      <c r="S227" s="385">
        <f>D227-R227</f>
        <v>256</v>
      </c>
    </row>
    <row r="228" spans="1:19" ht="34.5" customHeight="1" x14ac:dyDescent="0.2">
      <c r="A228" s="413" t="s">
        <v>318</v>
      </c>
      <c r="B228" s="414" t="s">
        <v>557</v>
      </c>
      <c r="C228" s="419"/>
      <c r="D228" s="419"/>
      <c r="E228" s="415"/>
      <c r="F228" s="415"/>
      <c r="G228" s="415"/>
      <c r="H228" s="415"/>
      <c r="I228" s="415"/>
      <c r="J228" s="415"/>
      <c r="K228" s="415"/>
      <c r="L228" s="415"/>
      <c r="M228" s="415"/>
      <c r="N228" s="415"/>
      <c r="O228" s="415"/>
      <c r="P228" s="415"/>
      <c r="Q228" s="415"/>
      <c r="R228" s="415"/>
      <c r="S228" s="415"/>
    </row>
    <row r="229" spans="1:19" ht="19.5" customHeight="1" x14ac:dyDescent="0.2">
      <c r="A229" s="383"/>
      <c r="B229" s="400" t="s">
        <v>503</v>
      </c>
      <c r="C229" s="416">
        <f t="shared" ref="C229:R230" si="101">SUM(C230)</f>
        <v>4000000</v>
      </c>
      <c r="D229" s="416">
        <f t="shared" si="101"/>
        <v>3583000</v>
      </c>
      <c r="E229" s="416">
        <f t="shared" si="101"/>
        <v>0</v>
      </c>
      <c r="F229" s="416">
        <f t="shared" si="101"/>
        <v>0</v>
      </c>
      <c r="G229" s="416">
        <f t="shared" si="101"/>
        <v>574451.75</v>
      </c>
      <c r="H229" s="416">
        <f t="shared" si="101"/>
        <v>312214.55000000005</v>
      </c>
      <c r="I229" s="416">
        <f t="shared" si="101"/>
        <v>310842.5</v>
      </c>
      <c r="J229" s="416">
        <f t="shared" si="101"/>
        <v>278447.5</v>
      </c>
      <c r="K229" s="416">
        <f t="shared" si="101"/>
        <v>337546.25</v>
      </c>
      <c r="L229" s="416">
        <f t="shared" si="101"/>
        <v>1386</v>
      </c>
      <c r="M229" s="416">
        <f t="shared" si="101"/>
        <v>303525.99999999977</v>
      </c>
      <c r="N229" s="416">
        <f t="shared" si="101"/>
        <v>465645.75</v>
      </c>
      <c r="O229" s="416">
        <f t="shared" si="101"/>
        <v>324846</v>
      </c>
      <c r="P229" s="416">
        <f t="shared" si="101"/>
        <v>0</v>
      </c>
      <c r="Q229" s="416">
        <f t="shared" si="101"/>
        <v>636139.5</v>
      </c>
      <c r="R229" s="416">
        <f t="shared" si="101"/>
        <v>3545045.8</v>
      </c>
      <c r="S229" s="416">
        <f>SUM(S230)</f>
        <v>37954.200000000186</v>
      </c>
    </row>
    <row r="230" spans="1:19" ht="19.5" customHeight="1" x14ac:dyDescent="0.2">
      <c r="A230" s="383"/>
      <c r="B230" s="400" t="s">
        <v>34</v>
      </c>
      <c r="C230" s="417">
        <f t="shared" si="101"/>
        <v>4000000</v>
      </c>
      <c r="D230" s="417">
        <f t="shared" si="101"/>
        <v>3583000</v>
      </c>
      <c r="E230" s="417">
        <f t="shared" si="101"/>
        <v>0</v>
      </c>
      <c r="F230" s="417">
        <f t="shared" si="101"/>
        <v>0</v>
      </c>
      <c r="G230" s="417">
        <f t="shared" si="101"/>
        <v>574451.75</v>
      </c>
      <c r="H230" s="417">
        <f t="shared" si="101"/>
        <v>312214.55000000005</v>
      </c>
      <c r="I230" s="417">
        <f t="shared" si="101"/>
        <v>310842.5</v>
      </c>
      <c r="J230" s="417">
        <f t="shared" si="101"/>
        <v>278447.5</v>
      </c>
      <c r="K230" s="417">
        <f t="shared" si="101"/>
        <v>337546.25</v>
      </c>
      <c r="L230" s="417">
        <f t="shared" si="101"/>
        <v>1386</v>
      </c>
      <c r="M230" s="417">
        <f t="shared" si="101"/>
        <v>303525.99999999977</v>
      </c>
      <c r="N230" s="417">
        <f t="shared" si="101"/>
        <v>465645.75</v>
      </c>
      <c r="O230" s="417">
        <f t="shared" si="101"/>
        <v>324846</v>
      </c>
      <c r="P230" s="417">
        <f t="shared" si="101"/>
        <v>0</v>
      </c>
      <c r="Q230" s="417">
        <f t="shared" si="101"/>
        <v>636139.5</v>
      </c>
      <c r="R230" s="417">
        <f t="shared" si="101"/>
        <v>3545045.8</v>
      </c>
      <c r="S230" s="417">
        <f>SUM(S231)</f>
        <v>37954.200000000186</v>
      </c>
    </row>
    <row r="231" spans="1:19" ht="19.5" customHeight="1" x14ac:dyDescent="0.2">
      <c r="A231" s="383"/>
      <c r="B231" s="400" t="s">
        <v>39</v>
      </c>
      <c r="C231" s="385">
        <v>4000000</v>
      </c>
      <c r="D231" s="385">
        <v>3583000</v>
      </c>
      <c r="E231" s="403"/>
      <c r="F231" s="403"/>
      <c r="G231" s="403">
        <f>576176.75-1725</f>
        <v>574451.75</v>
      </c>
      <c r="H231" s="403">
        <v>312214.55000000005</v>
      </c>
      <c r="I231" s="403">
        <v>310842.5</v>
      </c>
      <c r="J231" s="403">
        <v>278447.5</v>
      </c>
      <c r="K231" s="403">
        <v>337546.25</v>
      </c>
      <c r="L231" s="403">
        <v>1386</v>
      </c>
      <c r="M231" s="403">
        <v>303525.99999999977</v>
      </c>
      <c r="N231" s="403">
        <v>465645.75</v>
      </c>
      <c r="O231" s="403">
        <v>324846</v>
      </c>
      <c r="P231" s="403">
        <v>0</v>
      </c>
      <c r="Q231" s="403">
        <v>636139.5</v>
      </c>
      <c r="R231" s="440">
        <f>SUM(F231:Q231)</f>
        <v>3545045.8</v>
      </c>
      <c r="S231" s="385">
        <f>D231-R231</f>
        <v>37954.200000000186</v>
      </c>
    </row>
    <row r="232" spans="1:19" ht="39.75" customHeight="1" x14ac:dyDescent="0.2">
      <c r="A232" s="413" t="s">
        <v>320</v>
      </c>
      <c r="B232" s="414" t="s">
        <v>558</v>
      </c>
      <c r="C232" s="419"/>
      <c r="D232" s="419"/>
      <c r="E232" s="415"/>
      <c r="F232" s="415"/>
      <c r="G232" s="403"/>
      <c r="H232" s="403"/>
      <c r="I232" s="403"/>
      <c r="J232" s="403"/>
      <c r="K232" s="403"/>
      <c r="L232" s="403"/>
      <c r="M232" s="403"/>
      <c r="N232" s="403"/>
      <c r="O232" s="403"/>
      <c r="P232" s="403"/>
      <c r="Q232" s="403"/>
      <c r="R232" s="415"/>
      <c r="S232" s="415"/>
    </row>
    <row r="233" spans="1:19" ht="19.5" customHeight="1" x14ac:dyDescent="0.2">
      <c r="A233" s="383"/>
      <c r="B233" s="400" t="s">
        <v>503</v>
      </c>
      <c r="C233" s="416">
        <f t="shared" ref="C233:R234" si="102">SUM(C234)</f>
        <v>4100000</v>
      </c>
      <c r="D233" s="416">
        <f t="shared" si="102"/>
        <v>4548800</v>
      </c>
      <c r="E233" s="416">
        <f t="shared" si="102"/>
        <v>0</v>
      </c>
      <c r="F233" s="416">
        <f t="shared" si="102"/>
        <v>0</v>
      </c>
      <c r="G233" s="416">
        <f t="shared" si="102"/>
        <v>6666.4</v>
      </c>
      <c r="H233" s="416">
        <f t="shared" si="102"/>
        <v>185645.4</v>
      </c>
      <c r="I233" s="416">
        <f t="shared" si="102"/>
        <v>1362081.96</v>
      </c>
      <c r="J233" s="416">
        <f t="shared" si="102"/>
        <v>380326.28</v>
      </c>
      <c r="K233" s="416">
        <f t="shared" si="102"/>
        <v>397393.52</v>
      </c>
      <c r="L233" s="416">
        <f t="shared" si="102"/>
        <v>353540.52</v>
      </c>
      <c r="M233" s="416">
        <f t="shared" si="102"/>
        <v>356102.5</v>
      </c>
      <c r="N233" s="416">
        <f t="shared" si="102"/>
        <v>177127.83999999985</v>
      </c>
      <c r="O233" s="416">
        <f t="shared" si="102"/>
        <v>160611.02000000002</v>
      </c>
      <c r="P233" s="416">
        <f t="shared" si="102"/>
        <v>196781.10999999987</v>
      </c>
      <c r="Q233" s="416">
        <f t="shared" si="102"/>
        <v>903339.21999999974</v>
      </c>
      <c r="R233" s="416">
        <f t="shared" si="102"/>
        <v>4479615.7699999996</v>
      </c>
      <c r="S233" s="416">
        <f>SUM(S234)</f>
        <v>69184.230000000447</v>
      </c>
    </row>
    <row r="234" spans="1:19" ht="19.5" customHeight="1" x14ac:dyDescent="0.2">
      <c r="A234" s="383"/>
      <c r="B234" s="400" t="s">
        <v>34</v>
      </c>
      <c r="C234" s="417">
        <f t="shared" si="102"/>
        <v>4100000</v>
      </c>
      <c r="D234" s="417">
        <f t="shared" si="102"/>
        <v>4548800</v>
      </c>
      <c r="E234" s="417">
        <f t="shared" si="102"/>
        <v>0</v>
      </c>
      <c r="F234" s="417">
        <f t="shared" si="102"/>
        <v>0</v>
      </c>
      <c r="G234" s="417">
        <f t="shared" si="102"/>
        <v>6666.4</v>
      </c>
      <c r="H234" s="417">
        <f t="shared" si="102"/>
        <v>185645.4</v>
      </c>
      <c r="I234" s="417">
        <f t="shared" si="102"/>
        <v>1362081.96</v>
      </c>
      <c r="J234" s="417">
        <f t="shared" si="102"/>
        <v>380326.28</v>
      </c>
      <c r="K234" s="417">
        <f t="shared" si="102"/>
        <v>397393.52</v>
      </c>
      <c r="L234" s="417">
        <f t="shared" si="102"/>
        <v>353540.52</v>
      </c>
      <c r="M234" s="417">
        <f t="shared" si="102"/>
        <v>356102.5</v>
      </c>
      <c r="N234" s="417">
        <f t="shared" si="102"/>
        <v>177127.83999999985</v>
      </c>
      <c r="O234" s="417">
        <f t="shared" si="102"/>
        <v>160611.02000000002</v>
      </c>
      <c r="P234" s="417">
        <f t="shared" si="102"/>
        <v>196781.10999999987</v>
      </c>
      <c r="Q234" s="417">
        <f t="shared" si="102"/>
        <v>903339.21999999974</v>
      </c>
      <c r="R234" s="417">
        <f t="shared" si="102"/>
        <v>4479615.7699999996</v>
      </c>
      <c r="S234" s="417">
        <f>SUM(S235)</f>
        <v>69184.230000000447</v>
      </c>
    </row>
    <row r="235" spans="1:19" ht="19.5" customHeight="1" x14ac:dyDescent="0.2">
      <c r="A235" s="383"/>
      <c r="B235" s="400" t="s">
        <v>40</v>
      </c>
      <c r="C235" s="385">
        <v>4100000</v>
      </c>
      <c r="D235" s="385">
        <v>4548800</v>
      </c>
      <c r="E235" s="403"/>
      <c r="F235" s="403"/>
      <c r="G235" s="403">
        <v>6666.4</v>
      </c>
      <c r="H235" s="403">
        <v>185645.4</v>
      </c>
      <c r="I235" s="403">
        <v>1362081.96</v>
      </c>
      <c r="J235" s="403">
        <v>380326.28</v>
      </c>
      <c r="K235" s="403">
        <v>397393.52</v>
      </c>
      <c r="L235" s="403">
        <v>353540.52</v>
      </c>
      <c r="M235" s="403">
        <v>356102.5</v>
      </c>
      <c r="N235" s="403">
        <v>177127.83999999985</v>
      </c>
      <c r="O235" s="403">
        <v>160611.02000000002</v>
      </c>
      <c r="P235" s="403">
        <v>196781.10999999987</v>
      </c>
      <c r="Q235" s="403">
        <v>903339.21999999974</v>
      </c>
      <c r="R235" s="440">
        <f>SUM(F235:Q235)</f>
        <v>4479615.7699999996</v>
      </c>
      <c r="S235" s="385">
        <f>D235-R235</f>
        <v>69184.230000000447</v>
      </c>
    </row>
    <row r="236" spans="1:19" ht="36" customHeight="1" x14ac:dyDescent="0.2">
      <c r="A236" s="413" t="s">
        <v>328</v>
      </c>
      <c r="B236" s="414" t="s">
        <v>559</v>
      </c>
      <c r="C236" s="419"/>
      <c r="D236" s="419"/>
      <c r="E236" s="415"/>
      <c r="F236" s="415"/>
      <c r="G236" s="415"/>
      <c r="H236" s="415"/>
      <c r="I236" s="415"/>
      <c r="J236" s="415"/>
      <c r="K236" s="415"/>
      <c r="L236" s="415"/>
      <c r="M236" s="415"/>
      <c r="N236" s="415"/>
      <c r="O236" s="415"/>
      <c r="P236" s="415"/>
      <c r="Q236" s="415"/>
      <c r="R236" s="415"/>
      <c r="S236" s="415"/>
    </row>
    <row r="237" spans="1:19" ht="19.5" customHeight="1" x14ac:dyDescent="0.2">
      <c r="A237" s="383"/>
      <c r="B237" s="400" t="s">
        <v>503</v>
      </c>
      <c r="C237" s="416">
        <f t="shared" ref="C237:R238" si="103">SUM(C238)</f>
        <v>48000</v>
      </c>
      <c r="D237" s="416">
        <f t="shared" si="103"/>
        <v>48000</v>
      </c>
      <c r="E237" s="416">
        <f t="shared" si="103"/>
        <v>0</v>
      </c>
      <c r="F237" s="416">
        <f t="shared" si="103"/>
        <v>4000</v>
      </c>
      <c r="G237" s="416">
        <f t="shared" si="103"/>
        <v>4000</v>
      </c>
      <c r="H237" s="416">
        <f t="shared" si="103"/>
        <v>4000</v>
      </c>
      <c r="I237" s="416">
        <f t="shared" si="103"/>
        <v>4000</v>
      </c>
      <c r="J237" s="416">
        <f t="shared" si="103"/>
        <v>4000</v>
      </c>
      <c r="K237" s="416">
        <f t="shared" si="103"/>
        <v>4000</v>
      </c>
      <c r="L237" s="416">
        <f t="shared" si="103"/>
        <v>4000</v>
      </c>
      <c r="M237" s="416">
        <f t="shared" si="103"/>
        <v>4000</v>
      </c>
      <c r="N237" s="416">
        <f t="shared" si="103"/>
        <v>4000</v>
      </c>
      <c r="O237" s="416">
        <f t="shared" si="103"/>
        <v>4000</v>
      </c>
      <c r="P237" s="416">
        <f t="shared" si="103"/>
        <v>4000</v>
      </c>
      <c r="Q237" s="416">
        <f t="shared" si="103"/>
        <v>4000</v>
      </c>
      <c r="R237" s="416">
        <f t="shared" si="103"/>
        <v>48000</v>
      </c>
      <c r="S237" s="416">
        <f>SUM(S238)</f>
        <v>0</v>
      </c>
    </row>
    <row r="238" spans="1:19" ht="19.5" customHeight="1" x14ac:dyDescent="0.2">
      <c r="A238" s="383"/>
      <c r="B238" s="400" t="s">
        <v>34</v>
      </c>
      <c r="C238" s="417">
        <f t="shared" si="103"/>
        <v>48000</v>
      </c>
      <c r="D238" s="417">
        <f t="shared" si="103"/>
        <v>48000</v>
      </c>
      <c r="E238" s="417">
        <f t="shared" si="103"/>
        <v>0</v>
      </c>
      <c r="F238" s="417">
        <f t="shared" si="103"/>
        <v>4000</v>
      </c>
      <c r="G238" s="417">
        <f t="shared" si="103"/>
        <v>4000</v>
      </c>
      <c r="H238" s="417">
        <f t="shared" si="103"/>
        <v>4000</v>
      </c>
      <c r="I238" s="417">
        <f t="shared" si="103"/>
        <v>4000</v>
      </c>
      <c r="J238" s="417">
        <f t="shared" si="103"/>
        <v>4000</v>
      </c>
      <c r="K238" s="417">
        <f t="shared" si="103"/>
        <v>4000</v>
      </c>
      <c r="L238" s="417">
        <f t="shared" si="103"/>
        <v>4000</v>
      </c>
      <c r="M238" s="417">
        <f t="shared" si="103"/>
        <v>4000</v>
      </c>
      <c r="N238" s="417">
        <f t="shared" si="103"/>
        <v>4000</v>
      </c>
      <c r="O238" s="417">
        <f t="shared" si="103"/>
        <v>4000</v>
      </c>
      <c r="P238" s="417">
        <f t="shared" si="103"/>
        <v>4000</v>
      </c>
      <c r="Q238" s="417">
        <f t="shared" si="103"/>
        <v>4000</v>
      </c>
      <c r="R238" s="417">
        <f t="shared" si="103"/>
        <v>48000</v>
      </c>
      <c r="S238" s="417">
        <f>SUM(S239)</f>
        <v>0</v>
      </c>
    </row>
    <row r="239" spans="1:19" ht="19.5" customHeight="1" x14ac:dyDescent="0.2">
      <c r="A239" s="383"/>
      <c r="B239" s="400" t="s">
        <v>39</v>
      </c>
      <c r="C239" s="385">
        <v>48000</v>
      </c>
      <c r="D239" s="385">
        <v>48000</v>
      </c>
      <c r="E239" s="403"/>
      <c r="F239" s="403">
        <v>4000</v>
      </c>
      <c r="G239" s="403">
        <v>4000</v>
      </c>
      <c r="H239" s="403">
        <v>4000</v>
      </c>
      <c r="I239" s="403">
        <v>4000</v>
      </c>
      <c r="J239" s="403">
        <v>4000</v>
      </c>
      <c r="K239" s="403">
        <v>4000</v>
      </c>
      <c r="L239" s="403">
        <v>4000</v>
      </c>
      <c r="M239" s="403">
        <v>4000</v>
      </c>
      <c r="N239" s="403">
        <v>4000</v>
      </c>
      <c r="O239" s="403">
        <v>4000</v>
      </c>
      <c r="P239" s="403">
        <v>4000</v>
      </c>
      <c r="Q239" s="403">
        <v>4000</v>
      </c>
      <c r="R239" s="440">
        <f>SUM(F239:Q239)</f>
        <v>48000</v>
      </c>
      <c r="S239" s="385">
        <f>D239-R239</f>
        <v>0</v>
      </c>
    </row>
    <row r="240" spans="1:19" ht="43.5" customHeight="1" x14ac:dyDescent="0.2">
      <c r="A240" s="413" t="s">
        <v>330</v>
      </c>
      <c r="B240" s="414" t="s">
        <v>560</v>
      </c>
      <c r="C240" s="419"/>
      <c r="D240" s="419"/>
      <c r="E240" s="415"/>
      <c r="F240" s="415"/>
      <c r="G240" s="415"/>
      <c r="H240" s="415"/>
      <c r="I240" s="415"/>
      <c r="J240" s="415"/>
      <c r="K240" s="415"/>
      <c r="L240" s="415"/>
      <c r="M240" s="415"/>
      <c r="N240" s="415"/>
      <c r="O240" s="415"/>
      <c r="P240" s="415"/>
      <c r="Q240" s="415"/>
      <c r="R240" s="415"/>
      <c r="S240" s="415"/>
    </row>
    <row r="241" spans="1:19" ht="19.5" customHeight="1" x14ac:dyDescent="0.2">
      <c r="A241" s="383"/>
      <c r="B241" s="400" t="s">
        <v>503</v>
      </c>
      <c r="C241" s="416">
        <f t="shared" ref="C241:S242" si="104">SUM(C242)</f>
        <v>370000</v>
      </c>
      <c r="D241" s="416">
        <f t="shared" si="104"/>
        <v>400000</v>
      </c>
      <c r="E241" s="416">
        <f t="shared" si="104"/>
        <v>0</v>
      </c>
      <c r="F241" s="416">
        <f t="shared" si="104"/>
        <v>33558</v>
      </c>
      <c r="G241" s="416">
        <f t="shared" si="104"/>
        <v>32878</v>
      </c>
      <c r="H241" s="416">
        <f t="shared" si="104"/>
        <v>30880.5</v>
      </c>
      <c r="I241" s="416">
        <f t="shared" si="104"/>
        <v>35504.5</v>
      </c>
      <c r="J241" s="416">
        <f t="shared" si="104"/>
        <v>32861</v>
      </c>
      <c r="K241" s="416">
        <f t="shared" si="104"/>
        <v>33541</v>
      </c>
      <c r="L241" s="416">
        <f t="shared" si="104"/>
        <v>31943</v>
      </c>
      <c r="M241" s="416">
        <f t="shared" si="104"/>
        <v>31373.5</v>
      </c>
      <c r="N241" s="416">
        <f t="shared" si="104"/>
        <v>32691</v>
      </c>
      <c r="O241" s="416">
        <f t="shared" si="104"/>
        <v>31637</v>
      </c>
      <c r="P241" s="416">
        <f t="shared" si="104"/>
        <v>32920.5</v>
      </c>
      <c r="Q241" s="416">
        <f t="shared" si="104"/>
        <v>31186.5</v>
      </c>
      <c r="R241" s="416">
        <f t="shared" si="104"/>
        <v>390974.5</v>
      </c>
      <c r="S241" s="416">
        <f t="shared" si="104"/>
        <v>9025.5</v>
      </c>
    </row>
    <row r="242" spans="1:19" ht="19.5" customHeight="1" x14ac:dyDescent="0.2">
      <c r="A242" s="383"/>
      <c r="B242" s="400" t="s">
        <v>34</v>
      </c>
      <c r="C242" s="417">
        <f>SUM(C243)</f>
        <v>370000</v>
      </c>
      <c r="D242" s="417">
        <f>SUM(D243)</f>
        <v>400000</v>
      </c>
      <c r="E242" s="417">
        <f t="shared" si="104"/>
        <v>0</v>
      </c>
      <c r="F242" s="417">
        <f t="shared" si="104"/>
        <v>33558</v>
      </c>
      <c r="G242" s="417">
        <f t="shared" si="104"/>
        <v>32878</v>
      </c>
      <c r="H242" s="417">
        <f t="shared" si="104"/>
        <v>30880.5</v>
      </c>
      <c r="I242" s="417">
        <f t="shared" si="104"/>
        <v>35504.5</v>
      </c>
      <c r="J242" s="417">
        <f t="shared" si="104"/>
        <v>32861</v>
      </c>
      <c r="K242" s="417">
        <f t="shared" si="104"/>
        <v>33541</v>
      </c>
      <c r="L242" s="417">
        <f t="shared" si="104"/>
        <v>31943</v>
      </c>
      <c r="M242" s="417">
        <f t="shared" si="104"/>
        <v>31373.5</v>
      </c>
      <c r="N242" s="417">
        <f t="shared" si="104"/>
        <v>32691</v>
      </c>
      <c r="O242" s="417">
        <f t="shared" si="104"/>
        <v>31637</v>
      </c>
      <c r="P242" s="417">
        <f t="shared" si="104"/>
        <v>32920.5</v>
      </c>
      <c r="Q242" s="417">
        <f t="shared" si="104"/>
        <v>31186.5</v>
      </c>
      <c r="R242" s="417">
        <f t="shared" si="104"/>
        <v>390974.5</v>
      </c>
      <c r="S242" s="416">
        <f t="shared" si="104"/>
        <v>9025.5</v>
      </c>
    </row>
    <row r="243" spans="1:19" ht="19.5" customHeight="1" x14ac:dyDescent="0.2">
      <c r="A243" s="383"/>
      <c r="B243" s="400" t="s">
        <v>39</v>
      </c>
      <c r="C243" s="385">
        <v>370000</v>
      </c>
      <c r="D243" s="385">
        <v>400000</v>
      </c>
      <c r="E243" s="403"/>
      <c r="F243" s="403">
        <v>33558</v>
      </c>
      <c r="G243" s="403">
        <v>32878</v>
      </c>
      <c r="H243" s="403">
        <v>30880.5</v>
      </c>
      <c r="I243" s="403">
        <v>35504.5</v>
      </c>
      <c r="J243" s="403">
        <v>32861</v>
      </c>
      <c r="K243" s="403">
        <v>33541</v>
      </c>
      <c r="L243" s="403">
        <v>31943</v>
      </c>
      <c r="M243" s="403">
        <v>31373.5</v>
      </c>
      <c r="N243" s="403">
        <v>32691</v>
      </c>
      <c r="O243" s="403">
        <v>31637</v>
      </c>
      <c r="P243" s="403">
        <v>32920.5</v>
      </c>
      <c r="Q243" s="403">
        <v>31186.5</v>
      </c>
      <c r="R243" s="440">
        <f>SUM(F243:Q243)</f>
        <v>390974.5</v>
      </c>
      <c r="S243" s="385">
        <f>D243-R243</f>
        <v>9025.5</v>
      </c>
    </row>
    <row r="244" spans="1:19" ht="39" customHeight="1" x14ac:dyDescent="0.2">
      <c r="A244" s="413" t="s">
        <v>332</v>
      </c>
      <c r="B244" s="414" t="s">
        <v>561</v>
      </c>
      <c r="C244" s="419"/>
      <c r="D244" s="419"/>
      <c r="E244" s="403"/>
      <c r="F244" s="403"/>
      <c r="G244" s="403"/>
      <c r="H244" s="403"/>
      <c r="I244" s="403"/>
      <c r="J244" s="403"/>
      <c r="K244" s="403"/>
      <c r="L244" s="403"/>
      <c r="M244" s="403"/>
      <c r="N244" s="403"/>
      <c r="O244" s="403"/>
      <c r="P244" s="403"/>
      <c r="Q244" s="403"/>
      <c r="R244" s="403"/>
      <c r="S244" s="403"/>
    </row>
    <row r="245" spans="1:19" ht="19.5" customHeight="1" x14ac:dyDescent="0.2">
      <c r="A245" s="383"/>
      <c r="B245" s="400" t="s">
        <v>503</v>
      </c>
      <c r="C245" s="416">
        <f>SUM(C246)</f>
        <v>8180000</v>
      </c>
      <c r="D245" s="416">
        <f>SUM(D246)</f>
        <v>7735425</v>
      </c>
      <c r="E245" s="416">
        <f t="shared" ref="E245:S245" si="105">SUM(E246)</f>
        <v>0</v>
      </c>
      <c r="F245" s="416">
        <f t="shared" si="105"/>
        <v>625390</v>
      </c>
      <c r="G245" s="416">
        <f t="shared" si="105"/>
        <v>648245</v>
      </c>
      <c r="H245" s="416">
        <f t="shared" si="105"/>
        <v>593670</v>
      </c>
      <c r="I245" s="416">
        <f t="shared" si="105"/>
        <v>658165</v>
      </c>
      <c r="J245" s="416">
        <f t="shared" si="105"/>
        <v>652320</v>
      </c>
      <c r="K245" s="416">
        <f t="shared" si="105"/>
        <v>665055</v>
      </c>
      <c r="L245" s="416">
        <f t="shared" si="105"/>
        <v>647405</v>
      </c>
      <c r="M245" s="416">
        <f t="shared" si="105"/>
        <v>663195</v>
      </c>
      <c r="N245" s="416">
        <f t="shared" si="105"/>
        <v>662345</v>
      </c>
      <c r="O245" s="416">
        <f t="shared" si="105"/>
        <v>635850</v>
      </c>
      <c r="P245" s="416">
        <f t="shared" si="105"/>
        <v>654880</v>
      </c>
      <c r="Q245" s="416">
        <f t="shared" si="105"/>
        <v>628905</v>
      </c>
      <c r="R245" s="416">
        <f t="shared" si="105"/>
        <v>7735425</v>
      </c>
      <c r="S245" s="416">
        <f t="shared" si="105"/>
        <v>0</v>
      </c>
    </row>
    <row r="246" spans="1:19" ht="19.5" customHeight="1" x14ac:dyDescent="0.2">
      <c r="A246" s="383"/>
      <c r="B246" s="400" t="s">
        <v>34</v>
      </c>
      <c r="C246" s="417">
        <f t="shared" ref="C246:S246" si="106">SUM(C247:C247)</f>
        <v>8180000</v>
      </c>
      <c r="D246" s="417">
        <f t="shared" si="106"/>
        <v>7735425</v>
      </c>
      <c r="E246" s="417">
        <f t="shared" si="106"/>
        <v>0</v>
      </c>
      <c r="F246" s="417">
        <f t="shared" si="106"/>
        <v>625390</v>
      </c>
      <c r="G246" s="417">
        <f t="shared" si="106"/>
        <v>648245</v>
      </c>
      <c r="H246" s="417">
        <f t="shared" si="106"/>
        <v>593670</v>
      </c>
      <c r="I246" s="417">
        <f t="shared" si="106"/>
        <v>658165</v>
      </c>
      <c r="J246" s="417">
        <f t="shared" si="106"/>
        <v>652320</v>
      </c>
      <c r="K246" s="417">
        <f t="shared" si="106"/>
        <v>665055</v>
      </c>
      <c r="L246" s="417">
        <f t="shared" si="106"/>
        <v>647405</v>
      </c>
      <c r="M246" s="417">
        <f t="shared" si="106"/>
        <v>663195</v>
      </c>
      <c r="N246" s="417">
        <f t="shared" si="106"/>
        <v>662345</v>
      </c>
      <c r="O246" s="417">
        <f t="shared" si="106"/>
        <v>635850</v>
      </c>
      <c r="P246" s="417">
        <f t="shared" si="106"/>
        <v>654880</v>
      </c>
      <c r="Q246" s="417">
        <f t="shared" si="106"/>
        <v>628905</v>
      </c>
      <c r="R246" s="417">
        <f t="shared" si="106"/>
        <v>7735425</v>
      </c>
      <c r="S246" s="417">
        <f t="shared" si="106"/>
        <v>0</v>
      </c>
    </row>
    <row r="247" spans="1:19" ht="19.5" customHeight="1" x14ac:dyDescent="0.2">
      <c r="A247" s="383"/>
      <c r="B247" s="400" t="s">
        <v>39</v>
      </c>
      <c r="C247" s="385">
        <v>8180000</v>
      </c>
      <c r="D247" s="385">
        <v>7735425</v>
      </c>
      <c r="E247" s="403"/>
      <c r="F247" s="403">
        <v>625390</v>
      </c>
      <c r="G247" s="403">
        <v>648245</v>
      </c>
      <c r="H247" s="403">
        <v>593670</v>
      </c>
      <c r="I247" s="403">
        <v>658165</v>
      </c>
      <c r="J247" s="403">
        <v>652320</v>
      </c>
      <c r="K247" s="403">
        <v>665055</v>
      </c>
      <c r="L247" s="403">
        <v>647405</v>
      </c>
      <c r="M247" s="403">
        <v>663195</v>
      </c>
      <c r="N247" s="403">
        <v>662345</v>
      </c>
      <c r="O247" s="403">
        <v>635850</v>
      </c>
      <c r="P247" s="403">
        <v>654880</v>
      </c>
      <c r="Q247" s="403">
        <v>628905</v>
      </c>
      <c r="R247" s="440">
        <f>SUM(F247:Q247)</f>
        <v>7735425</v>
      </c>
      <c r="S247" s="385">
        <f>D247-R247</f>
        <v>0</v>
      </c>
    </row>
    <row r="248" spans="1:19" ht="33" customHeight="1" x14ac:dyDescent="0.2">
      <c r="A248" s="413" t="s">
        <v>334</v>
      </c>
      <c r="B248" s="414" t="s">
        <v>562</v>
      </c>
      <c r="C248" s="419"/>
      <c r="D248" s="419"/>
      <c r="E248" s="415"/>
      <c r="F248" s="415"/>
      <c r="G248" s="415"/>
      <c r="H248" s="415"/>
      <c r="I248" s="415"/>
      <c r="J248" s="415"/>
      <c r="K248" s="415"/>
      <c r="L248" s="415"/>
      <c r="M248" s="415"/>
      <c r="N248" s="415"/>
      <c r="O248" s="415"/>
      <c r="P248" s="415"/>
      <c r="Q248" s="415"/>
      <c r="R248" s="415"/>
      <c r="S248" s="415"/>
    </row>
    <row r="249" spans="1:19" ht="19.5" customHeight="1" x14ac:dyDescent="0.2">
      <c r="A249" s="383"/>
      <c r="B249" s="400" t="s">
        <v>503</v>
      </c>
      <c r="C249" s="416">
        <f t="shared" ref="C249:R250" si="107">SUM(C250)</f>
        <v>2350000</v>
      </c>
      <c r="D249" s="416">
        <f t="shared" si="107"/>
        <v>2238175</v>
      </c>
      <c r="E249" s="416">
        <f t="shared" si="107"/>
        <v>0</v>
      </c>
      <c r="F249" s="416">
        <f>SUM(F250)</f>
        <v>188293</v>
      </c>
      <c r="G249" s="416">
        <f>SUM(G250)</f>
        <v>184082</v>
      </c>
      <c r="H249" s="416">
        <f t="shared" si="107"/>
        <v>169515.5</v>
      </c>
      <c r="I249" s="416">
        <f t="shared" si="107"/>
        <v>185082.5</v>
      </c>
      <c r="J249" s="416">
        <f t="shared" si="107"/>
        <v>184509</v>
      </c>
      <c r="K249" s="416">
        <f t="shared" si="107"/>
        <v>193853.5</v>
      </c>
      <c r="L249" s="416">
        <f t="shared" si="107"/>
        <v>188935</v>
      </c>
      <c r="M249" s="416">
        <f t="shared" si="107"/>
        <v>172503.5</v>
      </c>
      <c r="N249" s="416">
        <f t="shared" si="107"/>
        <v>192239.5</v>
      </c>
      <c r="O249" s="416">
        <f t="shared" si="107"/>
        <v>205641</v>
      </c>
      <c r="P249" s="416">
        <f t="shared" si="107"/>
        <v>189868</v>
      </c>
      <c r="Q249" s="416">
        <f t="shared" si="107"/>
        <v>183649.5</v>
      </c>
      <c r="R249" s="416">
        <f t="shared" si="107"/>
        <v>2238172</v>
      </c>
      <c r="S249" s="416">
        <f>SUM(S250)</f>
        <v>3</v>
      </c>
    </row>
    <row r="250" spans="1:19" ht="19.5" customHeight="1" x14ac:dyDescent="0.2">
      <c r="A250" s="383"/>
      <c r="B250" s="400" t="s">
        <v>34</v>
      </c>
      <c r="C250" s="417">
        <f t="shared" si="107"/>
        <v>2350000</v>
      </c>
      <c r="D250" s="417">
        <f t="shared" si="107"/>
        <v>2238175</v>
      </c>
      <c r="E250" s="417">
        <f t="shared" si="107"/>
        <v>0</v>
      </c>
      <c r="F250" s="417">
        <f>F251</f>
        <v>188293</v>
      </c>
      <c r="G250" s="417">
        <f>SUM(G251)</f>
        <v>184082</v>
      </c>
      <c r="H250" s="417">
        <f t="shared" si="107"/>
        <v>169515.5</v>
      </c>
      <c r="I250" s="417">
        <f t="shared" si="107"/>
        <v>185082.5</v>
      </c>
      <c r="J250" s="417">
        <f t="shared" si="107"/>
        <v>184509</v>
      </c>
      <c r="K250" s="417">
        <f t="shared" si="107"/>
        <v>193853.5</v>
      </c>
      <c r="L250" s="417">
        <f t="shared" si="107"/>
        <v>188935</v>
      </c>
      <c r="M250" s="417">
        <f t="shared" si="107"/>
        <v>172503.5</v>
      </c>
      <c r="N250" s="417">
        <f t="shared" si="107"/>
        <v>192239.5</v>
      </c>
      <c r="O250" s="417">
        <f t="shared" si="107"/>
        <v>205641</v>
      </c>
      <c r="P250" s="417">
        <f t="shared" si="107"/>
        <v>189868</v>
      </c>
      <c r="Q250" s="417">
        <f t="shared" si="107"/>
        <v>183649.5</v>
      </c>
      <c r="R250" s="417">
        <f t="shared" si="107"/>
        <v>2238172</v>
      </c>
      <c r="S250" s="417">
        <f>SUM(S251)</f>
        <v>3</v>
      </c>
    </row>
    <row r="251" spans="1:19" ht="19.5" customHeight="1" x14ac:dyDescent="0.2">
      <c r="A251" s="383"/>
      <c r="B251" s="400" t="s">
        <v>39</v>
      </c>
      <c r="C251" s="385">
        <v>2350000</v>
      </c>
      <c r="D251" s="385">
        <v>2238175</v>
      </c>
      <c r="E251" s="403"/>
      <c r="F251" s="403">
        <v>188293</v>
      </c>
      <c r="G251" s="403">
        <v>184082</v>
      </c>
      <c r="H251" s="403">
        <v>169515.5</v>
      </c>
      <c r="I251" s="403">
        <v>185082.5</v>
      </c>
      <c r="J251" s="403">
        <v>184509</v>
      </c>
      <c r="K251" s="403">
        <v>193853.5</v>
      </c>
      <c r="L251" s="403">
        <v>188935</v>
      </c>
      <c r="M251" s="403">
        <v>172503.5</v>
      </c>
      <c r="N251" s="403">
        <v>192239.5</v>
      </c>
      <c r="O251" s="403">
        <v>205641</v>
      </c>
      <c r="P251" s="403">
        <v>189868</v>
      </c>
      <c r="Q251" s="403">
        <v>183649.5</v>
      </c>
      <c r="R251" s="440">
        <f>SUM(F251:Q251)</f>
        <v>2238172</v>
      </c>
      <c r="S251" s="385">
        <f>D251-R251</f>
        <v>3</v>
      </c>
    </row>
    <row r="252" spans="1:19" ht="42.75" customHeight="1" x14ac:dyDescent="0.2">
      <c r="A252" s="413" t="s">
        <v>336</v>
      </c>
      <c r="B252" s="414" t="s">
        <v>563</v>
      </c>
      <c r="C252" s="419"/>
      <c r="D252" s="419"/>
      <c r="E252" s="415"/>
      <c r="F252" s="415"/>
      <c r="G252" s="415"/>
      <c r="H252" s="415"/>
      <c r="I252" s="415"/>
      <c r="J252" s="415"/>
      <c r="K252" s="415"/>
      <c r="L252" s="415"/>
      <c r="M252" s="415"/>
      <c r="N252" s="415"/>
      <c r="O252" s="415"/>
      <c r="P252" s="415"/>
      <c r="Q252" s="415"/>
      <c r="R252" s="415"/>
      <c r="S252" s="415"/>
    </row>
    <row r="253" spans="1:19" ht="19.5" customHeight="1" x14ac:dyDescent="0.2">
      <c r="A253" s="383"/>
      <c r="B253" s="400" t="s">
        <v>503</v>
      </c>
      <c r="C253" s="416">
        <f t="shared" ref="C253:R254" si="108">SUM(C254)</f>
        <v>800000</v>
      </c>
      <c r="D253" s="416">
        <f t="shared" si="108"/>
        <v>748400</v>
      </c>
      <c r="E253" s="416">
        <f t="shared" si="108"/>
        <v>0</v>
      </c>
      <c r="F253" s="416">
        <f t="shared" si="108"/>
        <v>61458</v>
      </c>
      <c r="G253" s="416">
        <f t="shared" si="108"/>
        <v>59629</v>
      </c>
      <c r="H253" s="416">
        <f t="shared" si="108"/>
        <v>58335</v>
      </c>
      <c r="I253" s="416">
        <f t="shared" si="108"/>
        <v>63520</v>
      </c>
      <c r="J253" s="416">
        <f t="shared" si="108"/>
        <v>62159</v>
      </c>
      <c r="K253" s="416">
        <f t="shared" si="108"/>
        <v>64479</v>
      </c>
      <c r="L253" s="416">
        <f t="shared" si="108"/>
        <v>64378</v>
      </c>
      <c r="M253" s="416">
        <f t="shared" si="108"/>
        <v>60913</v>
      </c>
      <c r="N253" s="416">
        <f t="shared" si="108"/>
        <v>62981</v>
      </c>
      <c r="O253" s="416">
        <f t="shared" si="108"/>
        <v>63537</v>
      </c>
      <c r="P253" s="416">
        <f t="shared" si="108"/>
        <v>65138</v>
      </c>
      <c r="Q253" s="416">
        <f t="shared" si="108"/>
        <v>61814</v>
      </c>
      <c r="R253" s="416">
        <f t="shared" si="108"/>
        <v>748341</v>
      </c>
      <c r="S253" s="416">
        <f>SUM(S254)</f>
        <v>59</v>
      </c>
    </row>
    <row r="254" spans="1:19" ht="19.5" customHeight="1" x14ac:dyDescent="0.2">
      <c r="A254" s="383"/>
      <c r="B254" s="400" t="s">
        <v>34</v>
      </c>
      <c r="C254" s="417">
        <f t="shared" si="108"/>
        <v>800000</v>
      </c>
      <c r="D254" s="417">
        <f t="shared" si="108"/>
        <v>748400</v>
      </c>
      <c r="E254" s="417">
        <f t="shared" si="108"/>
        <v>0</v>
      </c>
      <c r="F254" s="417">
        <f t="shared" si="108"/>
        <v>61458</v>
      </c>
      <c r="G254" s="417">
        <f t="shared" si="108"/>
        <v>59629</v>
      </c>
      <c r="H254" s="417">
        <f t="shared" si="108"/>
        <v>58335</v>
      </c>
      <c r="I254" s="417">
        <f t="shared" si="108"/>
        <v>63520</v>
      </c>
      <c r="J254" s="417">
        <f t="shared" si="108"/>
        <v>62159</v>
      </c>
      <c r="K254" s="417">
        <f t="shared" si="108"/>
        <v>64479</v>
      </c>
      <c r="L254" s="417">
        <f t="shared" si="108"/>
        <v>64378</v>
      </c>
      <c r="M254" s="417">
        <f t="shared" si="108"/>
        <v>60913</v>
      </c>
      <c r="N254" s="417">
        <f t="shared" si="108"/>
        <v>62981</v>
      </c>
      <c r="O254" s="417">
        <f t="shared" si="108"/>
        <v>63537</v>
      </c>
      <c r="P254" s="417">
        <f t="shared" si="108"/>
        <v>65138</v>
      </c>
      <c r="Q254" s="417">
        <f t="shared" si="108"/>
        <v>61814</v>
      </c>
      <c r="R254" s="417">
        <f t="shared" si="108"/>
        <v>748341</v>
      </c>
      <c r="S254" s="417">
        <f>SUM(S255)</f>
        <v>59</v>
      </c>
    </row>
    <row r="255" spans="1:19" ht="19.5" customHeight="1" x14ac:dyDescent="0.2">
      <c r="A255" s="383"/>
      <c r="B255" s="400" t="s">
        <v>36</v>
      </c>
      <c r="C255" s="385">
        <v>800000</v>
      </c>
      <c r="D255" s="385">
        <v>748400</v>
      </c>
      <c r="E255" s="403"/>
      <c r="F255" s="403">
        <v>61458</v>
      </c>
      <c r="G255" s="403">
        <v>59629</v>
      </c>
      <c r="H255" s="403">
        <v>58335</v>
      </c>
      <c r="I255" s="403">
        <v>63520</v>
      </c>
      <c r="J255" s="403">
        <v>62159</v>
      </c>
      <c r="K255" s="403">
        <v>64479</v>
      </c>
      <c r="L255" s="403">
        <v>64378</v>
      </c>
      <c r="M255" s="403">
        <v>60913</v>
      </c>
      <c r="N255" s="403">
        <v>62981</v>
      </c>
      <c r="O255" s="403">
        <v>63537</v>
      </c>
      <c r="P255" s="403">
        <v>65138</v>
      </c>
      <c r="Q255" s="403">
        <v>61814</v>
      </c>
      <c r="R255" s="440">
        <f>SUM(F255:Q255)</f>
        <v>748341</v>
      </c>
      <c r="S255" s="385">
        <f>D255-R255</f>
        <v>59</v>
      </c>
    </row>
    <row r="256" spans="1:19" ht="36" customHeight="1" x14ac:dyDescent="0.2">
      <c r="A256" s="413" t="s">
        <v>338</v>
      </c>
      <c r="B256" s="414" t="s">
        <v>564</v>
      </c>
      <c r="C256" s="419"/>
      <c r="D256" s="419"/>
      <c r="E256" s="415"/>
      <c r="F256" s="415"/>
      <c r="G256" s="415"/>
      <c r="H256" s="415"/>
      <c r="I256" s="415"/>
      <c r="J256" s="415"/>
      <c r="K256" s="415"/>
      <c r="L256" s="415"/>
      <c r="M256" s="415"/>
      <c r="N256" s="415"/>
      <c r="O256" s="415"/>
      <c r="P256" s="415"/>
      <c r="Q256" s="415"/>
      <c r="R256" s="415"/>
      <c r="S256" s="415"/>
    </row>
    <row r="257" spans="1:19" ht="19.5" customHeight="1" x14ac:dyDescent="0.2">
      <c r="A257" s="383"/>
      <c r="B257" s="400" t="s">
        <v>503</v>
      </c>
      <c r="C257" s="416">
        <f t="shared" ref="C257:R258" si="109">SUM(C258)</f>
        <v>1400000</v>
      </c>
      <c r="D257" s="416">
        <f t="shared" si="109"/>
        <v>1417390</v>
      </c>
      <c r="E257" s="416">
        <f t="shared" si="109"/>
        <v>0</v>
      </c>
      <c r="F257" s="416">
        <f t="shared" si="109"/>
        <v>117775</v>
      </c>
      <c r="G257" s="416">
        <f t="shared" si="109"/>
        <v>117226</v>
      </c>
      <c r="H257" s="416">
        <f t="shared" si="109"/>
        <v>106004</v>
      </c>
      <c r="I257" s="416">
        <f t="shared" si="109"/>
        <v>118865</v>
      </c>
      <c r="J257" s="416">
        <f t="shared" si="109"/>
        <v>114627</v>
      </c>
      <c r="K257" s="416">
        <f t="shared" si="109"/>
        <v>120363</v>
      </c>
      <c r="L257" s="416">
        <f t="shared" si="109"/>
        <v>118642</v>
      </c>
      <c r="M257" s="416">
        <f t="shared" si="109"/>
        <v>122534</v>
      </c>
      <c r="N257" s="416">
        <f t="shared" si="109"/>
        <v>121974</v>
      </c>
      <c r="O257" s="416">
        <f t="shared" si="109"/>
        <v>117806</v>
      </c>
      <c r="P257" s="416">
        <f t="shared" si="109"/>
        <v>120121</v>
      </c>
      <c r="Q257" s="416">
        <f t="shared" si="109"/>
        <v>121449</v>
      </c>
      <c r="R257" s="416">
        <f t="shared" si="109"/>
        <v>1417386</v>
      </c>
      <c r="S257" s="416">
        <f>SUM(S258)</f>
        <v>4</v>
      </c>
    </row>
    <row r="258" spans="1:19" ht="19.5" customHeight="1" x14ac:dyDescent="0.2">
      <c r="A258" s="383"/>
      <c r="B258" s="400" t="s">
        <v>34</v>
      </c>
      <c r="C258" s="417">
        <f t="shared" si="109"/>
        <v>1400000</v>
      </c>
      <c r="D258" s="417">
        <f t="shared" si="109"/>
        <v>1417390</v>
      </c>
      <c r="E258" s="417">
        <f t="shared" si="109"/>
        <v>0</v>
      </c>
      <c r="F258" s="417">
        <f t="shared" si="109"/>
        <v>117775</v>
      </c>
      <c r="G258" s="417">
        <f t="shared" si="109"/>
        <v>117226</v>
      </c>
      <c r="H258" s="417">
        <f t="shared" si="109"/>
        <v>106004</v>
      </c>
      <c r="I258" s="417">
        <f t="shared" si="109"/>
        <v>118865</v>
      </c>
      <c r="J258" s="417">
        <f t="shared" si="109"/>
        <v>114627</v>
      </c>
      <c r="K258" s="417">
        <f t="shared" si="109"/>
        <v>120363</v>
      </c>
      <c r="L258" s="417">
        <f t="shared" si="109"/>
        <v>118642</v>
      </c>
      <c r="M258" s="417">
        <f t="shared" si="109"/>
        <v>122534</v>
      </c>
      <c r="N258" s="417">
        <f t="shared" si="109"/>
        <v>121974</v>
      </c>
      <c r="O258" s="417">
        <f t="shared" si="109"/>
        <v>117806</v>
      </c>
      <c r="P258" s="417">
        <f t="shared" si="109"/>
        <v>120121</v>
      </c>
      <c r="Q258" s="417">
        <f t="shared" si="109"/>
        <v>121449</v>
      </c>
      <c r="R258" s="417">
        <f t="shared" si="109"/>
        <v>1417386</v>
      </c>
      <c r="S258" s="417">
        <f>SUM(S259)</f>
        <v>4</v>
      </c>
    </row>
    <row r="259" spans="1:19" ht="19.5" customHeight="1" x14ac:dyDescent="0.2">
      <c r="A259" s="383"/>
      <c r="B259" s="400" t="s">
        <v>39</v>
      </c>
      <c r="C259" s="385">
        <v>1400000</v>
      </c>
      <c r="D259" s="385">
        <v>1417390</v>
      </c>
      <c r="E259" s="403"/>
      <c r="F259" s="403">
        <v>117775</v>
      </c>
      <c r="G259" s="403">
        <v>117226</v>
      </c>
      <c r="H259" s="403">
        <v>106004</v>
      </c>
      <c r="I259" s="403">
        <v>118865</v>
      </c>
      <c r="J259" s="403">
        <v>114627</v>
      </c>
      <c r="K259" s="403">
        <v>120363</v>
      </c>
      <c r="L259" s="403">
        <v>118642</v>
      </c>
      <c r="M259" s="403">
        <v>122534</v>
      </c>
      <c r="N259" s="403">
        <v>121974</v>
      </c>
      <c r="O259" s="403">
        <v>117806</v>
      </c>
      <c r="P259" s="403">
        <v>120121</v>
      </c>
      <c r="Q259" s="403">
        <v>121449</v>
      </c>
      <c r="R259" s="440">
        <f>SUM(F259:Q259)</f>
        <v>1417386</v>
      </c>
      <c r="S259" s="385">
        <f>D259-R259</f>
        <v>4</v>
      </c>
    </row>
    <row r="260" spans="1:19" ht="48" customHeight="1" x14ac:dyDescent="0.2">
      <c r="A260" s="413" t="s">
        <v>340</v>
      </c>
      <c r="B260" s="414" t="s">
        <v>565</v>
      </c>
      <c r="C260" s="385"/>
      <c r="D260" s="385"/>
      <c r="E260" s="403"/>
      <c r="F260" s="403"/>
      <c r="G260" s="403"/>
      <c r="H260" s="403"/>
      <c r="I260" s="403"/>
      <c r="J260" s="403"/>
      <c r="K260" s="403"/>
      <c r="L260" s="403"/>
      <c r="M260" s="403"/>
      <c r="N260" s="403"/>
      <c r="O260" s="403"/>
      <c r="P260" s="403"/>
      <c r="Q260" s="403"/>
      <c r="R260" s="403"/>
      <c r="S260" s="403"/>
    </row>
    <row r="261" spans="1:19" ht="19.5" customHeight="1" x14ac:dyDescent="0.2">
      <c r="A261" s="383"/>
      <c r="B261" s="400" t="s">
        <v>503</v>
      </c>
      <c r="C261" s="381">
        <f>SUM(C262)</f>
        <v>198000</v>
      </c>
      <c r="D261" s="381">
        <f>SUM(D262)</f>
        <v>145300</v>
      </c>
      <c r="E261" s="416">
        <f t="shared" ref="E261:S261" si="110">SUM(E262)</f>
        <v>0</v>
      </c>
      <c r="F261" s="416">
        <f t="shared" si="110"/>
        <v>11208.88</v>
      </c>
      <c r="G261" s="416">
        <f t="shared" si="110"/>
        <v>11167.960000000001</v>
      </c>
      <c r="H261" s="416">
        <f t="shared" si="110"/>
        <v>11597.539999999997</v>
      </c>
      <c r="I261" s="416">
        <f t="shared" si="110"/>
        <v>11181.68</v>
      </c>
      <c r="J261" s="416">
        <f t="shared" si="110"/>
        <v>11406.660000000003</v>
      </c>
      <c r="K261" s="416">
        <f t="shared" si="110"/>
        <v>0</v>
      </c>
      <c r="L261" s="416">
        <f t="shared" si="110"/>
        <v>22908.800000000003</v>
      </c>
      <c r="M261" s="416">
        <f t="shared" si="110"/>
        <v>12865.580000000002</v>
      </c>
      <c r="N261" s="416">
        <f t="shared" si="110"/>
        <v>11583.5</v>
      </c>
      <c r="O261" s="416">
        <f t="shared" si="110"/>
        <v>13608.87999999999</v>
      </c>
      <c r="P261" s="416">
        <f t="shared" si="110"/>
        <v>13765.740000000005</v>
      </c>
      <c r="Q261" s="416">
        <f t="shared" si="110"/>
        <v>13977.079999999987</v>
      </c>
      <c r="R261" s="416">
        <f t="shared" si="110"/>
        <v>145272.29999999999</v>
      </c>
      <c r="S261" s="416">
        <f t="shared" si="110"/>
        <v>27.700000000011642</v>
      </c>
    </row>
    <row r="262" spans="1:19" ht="19.5" customHeight="1" x14ac:dyDescent="0.2">
      <c r="A262" s="383"/>
      <c r="B262" s="400" t="s">
        <v>34</v>
      </c>
      <c r="C262" s="381">
        <f>SUM(C263:C263)</f>
        <v>198000</v>
      </c>
      <c r="D262" s="381">
        <f>SUM(D263:D263)</f>
        <v>145300</v>
      </c>
      <c r="E262" s="417">
        <f t="shared" ref="E262:S262" si="111">SUM(E263:E263)</f>
        <v>0</v>
      </c>
      <c r="F262" s="417">
        <f t="shared" si="111"/>
        <v>11208.88</v>
      </c>
      <c r="G262" s="417">
        <f t="shared" si="111"/>
        <v>11167.960000000001</v>
      </c>
      <c r="H262" s="417">
        <f t="shared" si="111"/>
        <v>11597.539999999997</v>
      </c>
      <c r="I262" s="417">
        <f t="shared" si="111"/>
        <v>11181.68</v>
      </c>
      <c r="J262" s="417">
        <f t="shared" si="111"/>
        <v>11406.660000000003</v>
      </c>
      <c r="K262" s="417">
        <f t="shared" si="111"/>
        <v>0</v>
      </c>
      <c r="L262" s="417">
        <f t="shared" si="111"/>
        <v>22908.800000000003</v>
      </c>
      <c r="M262" s="417">
        <f t="shared" si="111"/>
        <v>12865.580000000002</v>
      </c>
      <c r="N262" s="417">
        <f t="shared" si="111"/>
        <v>11583.5</v>
      </c>
      <c r="O262" s="417">
        <f t="shared" si="111"/>
        <v>13608.87999999999</v>
      </c>
      <c r="P262" s="417">
        <f t="shared" si="111"/>
        <v>13765.740000000005</v>
      </c>
      <c r="Q262" s="417">
        <f t="shared" si="111"/>
        <v>13977.079999999987</v>
      </c>
      <c r="R262" s="417">
        <f t="shared" si="111"/>
        <v>145272.29999999999</v>
      </c>
      <c r="S262" s="417">
        <f t="shared" si="111"/>
        <v>27.700000000011642</v>
      </c>
    </row>
    <row r="263" spans="1:19" ht="19.5" customHeight="1" x14ac:dyDescent="0.2">
      <c r="A263" s="383"/>
      <c r="B263" s="400" t="s">
        <v>39</v>
      </c>
      <c r="C263" s="385">
        <v>198000</v>
      </c>
      <c r="D263" s="385">
        <v>145300</v>
      </c>
      <c r="E263" s="403"/>
      <c r="F263" s="403">
        <v>11208.88</v>
      </c>
      <c r="G263" s="403">
        <v>11167.960000000001</v>
      </c>
      <c r="H263" s="403">
        <v>11597.539999999997</v>
      </c>
      <c r="I263" s="403">
        <v>11181.68</v>
      </c>
      <c r="J263" s="403">
        <v>11406.660000000003</v>
      </c>
      <c r="K263" s="403">
        <v>0</v>
      </c>
      <c r="L263" s="403">
        <v>22908.800000000003</v>
      </c>
      <c r="M263" s="403">
        <v>12865.580000000002</v>
      </c>
      <c r="N263" s="403">
        <v>11583.5</v>
      </c>
      <c r="O263" s="403">
        <v>13608.87999999999</v>
      </c>
      <c r="P263" s="403">
        <v>13765.740000000005</v>
      </c>
      <c r="Q263" s="403">
        <v>13977.079999999987</v>
      </c>
      <c r="R263" s="385">
        <f>SUM(F263:Q263)</f>
        <v>145272.29999999999</v>
      </c>
      <c r="S263" s="385">
        <f>D263-R263</f>
        <v>27.700000000011642</v>
      </c>
    </row>
    <row r="264" spans="1:19" ht="74.25" customHeight="1" x14ac:dyDescent="0.2">
      <c r="A264" s="413" t="s">
        <v>342</v>
      </c>
      <c r="B264" s="414" t="s">
        <v>566</v>
      </c>
      <c r="C264" s="419"/>
      <c r="D264" s="419"/>
      <c r="E264" s="415"/>
      <c r="F264" s="415"/>
      <c r="G264" s="415"/>
      <c r="H264" s="415"/>
      <c r="I264" s="415"/>
      <c r="J264" s="415"/>
      <c r="K264" s="415"/>
      <c r="L264" s="415"/>
      <c r="M264" s="415"/>
      <c r="N264" s="415"/>
      <c r="O264" s="415"/>
      <c r="P264" s="415"/>
      <c r="Q264" s="415"/>
      <c r="R264" s="415"/>
      <c r="S264" s="415"/>
    </row>
    <row r="265" spans="1:19" ht="19.5" customHeight="1" x14ac:dyDescent="0.2">
      <c r="A265" s="383"/>
      <c r="B265" s="400" t="s">
        <v>503</v>
      </c>
      <c r="C265" s="416">
        <f t="shared" ref="C265:R266" si="112">SUM(C266)</f>
        <v>264000</v>
      </c>
      <c r="D265" s="416">
        <f t="shared" si="112"/>
        <v>133400</v>
      </c>
      <c r="E265" s="416">
        <f t="shared" si="112"/>
        <v>0</v>
      </c>
      <c r="F265" s="416">
        <f t="shared" si="112"/>
        <v>0</v>
      </c>
      <c r="G265" s="416">
        <f t="shared" si="112"/>
        <v>10850</v>
      </c>
      <c r="H265" s="416">
        <f t="shared" si="112"/>
        <v>9800</v>
      </c>
      <c r="I265" s="416">
        <f t="shared" si="112"/>
        <v>10850</v>
      </c>
      <c r="J265" s="416">
        <f t="shared" si="112"/>
        <v>10500</v>
      </c>
      <c r="K265" s="416">
        <f t="shared" si="112"/>
        <v>10850</v>
      </c>
      <c r="L265" s="416">
        <f t="shared" si="112"/>
        <v>10500</v>
      </c>
      <c r="M265" s="416">
        <f t="shared" si="112"/>
        <v>10850</v>
      </c>
      <c r="N265" s="416">
        <f t="shared" si="112"/>
        <v>10850</v>
      </c>
      <c r="O265" s="416">
        <f t="shared" si="112"/>
        <v>10500</v>
      </c>
      <c r="P265" s="416">
        <f t="shared" si="112"/>
        <v>10850</v>
      </c>
      <c r="Q265" s="416">
        <f t="shared" si="112"/>
        <v>24500</v>
      </c>
      <c r="R265" s="416">
        <f t="shared" si="112"/>
        <v>130900</v>
      </c>
      <c r="S265" s="416">
        <f>SUM(S266)</f>
        <v>2500</v>
      </c>
    </row>
    <row r="266" spans="1:19" ht="19.5" customHeight="1" x14ac:dyDescent="0.2">
      <c r="A266" s="383"/>
      <c r="B266" s="400" t="s">
        <v>34</v>
      </c>
      <c r="C266" s="417">
        <f t="shared" si="112"/>
        <v>264000</v>
      </c>
      <c r="D266" s="417">
        <f t="shared" si="112"/>
        <v>133400</v>
      </c>
      <c r="E266" s="417">
        <f t="shared" si="112"/>
        <v>0</v>
      </c>
      <c r="F266" s="417">
        <f t="shared" si="112"/>
        <v>0</v>
      </c>
      <c r="G266" s="417">
        <f t="shared" si="112"/>
        <v>10850</v>
      </c>
      <c r="H266" s="417">
        <f t="shared" si="112"/>
        <v>9800</v>
      </c>
      <c r="I266" s="417">
        <f t="shared" si="112"/>
        <v>10850</v>
      </c>
      <c r="J266" s="417">
        <f t="shared" si="112"/>
        <v>10500</v>
      </c>
      <c r="K266" s="417">
        <f t="shared" si="112"/>
        <v>10850</v>
      </c>
      <c r="L266" s="417">
        <f t="shared" si="112"/>
        <v>10500</v>
      </c>
      <c r="M266" s="417">
        <f t="shared" si="112"/>
        <v>10850</v>
      </c>
      <c r="N266" s="417">
        <f t="shared" si="112"/>
        <v>10850</v>
      </c>
      <c r="O266" s="417">
        <f t="shared" si="112"/>
        <v>10500</v>
      </c>
      <c r="P266" s="417">
        <f t="shared" si="112"/>
        <v>10850</v>
      </c>
      <c r="Q266" s="417">
        <f t="shared" si="112"/>
        <v>24500</v>
      </c>
      <c r="R266" s="417">
        <f t="shared" si="112"/>
        <v>130900</v>
      </c>
      <c r="S266" s="417">
        <f>SUM(S267)</f>
        <v>2500</v>
      </c>
    </row>
    <row r="267" spans="1:19" ht="19.5" customHeight="1" x14ac:dyDescent="0.2">
      <c r="A267" s="383"/>
      <c r="B267" s="400" t="s">
        <v>39</v>
      </c>
      <c r="C267" s="385">
        <v>264000</v>
      </c>
      <c r="D267" s="385">
        <v>133400</v>
      </c>
      <c r="E267" s="403"/>
      <c r="F267" s="403"/>
      <c r="G267" s="403">
        <v>10850</v>
      </c>
      <c r="H267" s="403">
        <v>9800</v>
      </c>
      <c r="I267" s="403">
        <v>10850</v>
      </c>
      <c r="J267" s="403">
        <v>10500</v>
      </c>
      <c r="K267" s="403">
        <v>10850</v>
      </c>
      <c r="L267" s="403">
        <v>10500</v>
      </c>
      <c r="M267" s="403">
        <v>10850</v>
      </c>
      <c r="N267" s="403">
        <v>10850</v>
      </c>
      <c r="O267" s="403">
        <v>10500</v>
      </c>
      <c r="P267" s="403">
        <v>10850</v>
      </c>
      <c r="Q267" s="403">
        <v>24500</v>
      </c>
      <c r="R267" s="403">
        <f>SUM(F267:Q267)</f>
        <v>130900</v>
      </c>
      <c r="S267" s="385">
        <f>D267-R267</f>
        <v>2500</v>
      </c>
    </row>
    <row r="268" spans="1:19" ht="42.75" customHeight="1" x14ac:dyDescent="0.2">
      <c r="A268" s="405" t="s">
        <v>567</v>
      </c>
      <c r="B268" s="422" t="s">
        <v>568</v>
      </c>
      <c r="C268" s="423"/>
      <c r="D268" s="423"/>
      <c r="E268" s="424"/>
      <c r="F268" s="424"/>
      <c r="G268" s="424"/>
      <c r="H268" s="424"/>
      <c r="I268" s="424"/>
      <c r="J268" s="424"/>
      <c r="K268" s="424"/>
      <c r="L268" s="424"/>
      <c r="M268" s="424"/>
      <c r="N268" s="424"/>
      <c r="O268" s="424"/>
      <c r="P268" s="424"/>
      <c r="Q268" s="424"/>
      <c r="R268" s="424"/>
      <c r="S268" s="424"/>
    </row>
    <row r="269" spans="1:19" ht="19.5" customHeight="1" x14ac:dyDescent="0.2">
      <c r="A269" s="408"/>
      <c r="B269" s="409" t="s">
        <v>503</v>
      </c>
      <c r="C269" s="425">
        <f t="shared" ref="C269:S269" si="113">C270+C273</f>
        <v>55000000</v>
      </c>
      <c r="D269" s="425">
        <f t="shared" si="113"/>
        <v>46391300</v>
      </c>
      <c r="E269" s="425">
        <f t="shared" si="113"/>
        <v>0</v>
      </c>
      <c r="F269" s="425">
        <f t="shared" si="113"/>
        <v>2703046.8</v>
      </c>
      <c r="G269" s="425">
        <f t="shared" si="113"/>
        <v>3689015.4600000004</v>
      </c>
      <c r="H269" s="425">
        <f t="shared" si="113"/>
        <v>4266601.1999999993</v>
      </c>
      <c r="I269" s="425">
        <f t="shared" si="113"/>
        <v>3768319.3</v>
      </c>
      <c r="J269" s="425">
        <f t="shared" si="113"/>
        <v>4546437.42</v>
      </c>
      <c r="K269" s="425">
        <f t="shared" si="113"/>
        <v>3856899.3699999992</v>
      </c>
      <c r="L269" s="425">
        <f t="shared" si="113"/>
        <v>3866014.4199999981</v>
      </c>
      <c r="M269" s="425">
        <f t="shared" si="113"/>
        <v>3114641.6</v>
      </c>
      <c r="N269" s="425">
        <f t="shared" si="113"/>
        <v>3952058.6700000004</v>
      </c>
      <c r="O269" s="425">
        <f t="shared" si="113"/>
        <v>4001152.74</v>
      </c>
      <c r="P269" s="425">
        <f t="shared" si="113"/>
        <v>4720078.79</v>
      </c>
      <c r="Q269" s="425">
        <f t="shared" si="113"/>
        <v>3906915.0099999993</v>
      </c>
      <c r="R269" s="425">
        <f t="shared" si="113"/>
        <v>46391180.780000001</v>
      </c>
      <c r="S269" s="425">
        <f t="shared" si="113"/>
        <v>119.22000000206754</v>
      </c>
    </row>
    <row r="270" spans="1:19" ht="19.5" customHeight="1" x14ac:dyDescent="0.2">
      <c r="A270" s="408"/>
      <c r="B270" s="409" t="s">
        <v>34</v>
      </c>
      <c r="C270" s="425">
        <f t="shared" ref="C270:S270" si="114">SUM(C271:C272)</f>
        <v>55000000</v>
      </c>
      <c r="D270" s="425">
        <f t="shared" si="114"/>
        <v>46391300</v>
      </c>
      <c r="E270" s="425">
        <f t="shared" si="114"/>
        <v>0</v>
      </c>
      <c r="F270" s="425">
        <f t="shared" si="114"/>
        <v>2703046.8</v>
      </c>
      <c r="G270" s="425">
        <f t="shared" si="114"/>
        <v>3689015.4600000004</v>
      </c>
      <c r="H270" s="425">
        <f t="shared" si="114"/>
        <v>4266601.1999999993</v>
      </c>
      <c r="I270" s="425">
        <f t="shared" si="114"/>
        <v>3768319.3</v>
      </c>
      <c r="J270" s="425">
        <f t="shared" si="114"/>
        <v>4546437.42</v>
      </c>
      <c r="K270" s="425">
        <f t="shared" si="114"/>
        <v>3856899.3699999992</v>
      </c>
      <c r="L270" s="425">
        <f t="shared" si="114"/>
        <v>3866014.4199999981</v>
      </c>
      <c r="M270" s="425">
        <f t="shared" si="114"/>
        <v>3114641.6</v>
      </c>
      <c r="N270" s="425">
        <f t="shared" si="114"/>
        <v>3952058.6700000004</v>
      </c>
      <c r="O270" s="425">
        <f t="shared" si="114"/>
        <v>4001152.74</v>
      </c>
      <c r="P270" s="425">
        <f t="shared" si="114"/>
        <v>4720078.79</v>
      </c>
      <c r="Q270" s="425">
        <f t="shared" si="114"/>
        <v>3906915.0099999993</v>
      </c>
      <c r="R270" s="425">
        <f t="shared" si="114"/>
        <v>46391180.780000001</v>
      </c>
      <c r="S270" s="425">
        <f t="shared" si="114"/>
        <v>119.22000000206754</v>
      </c>
    </row>
    <row r="271" spans="1:19" ht="19.5" customHeight="1" x14ac:dyDescent="0.2">
      <c r="A271" s="408"/>
      <c r="B271" s="409" t="s">
        <v>39</v>
      </c>
      <c r="C271" s="423">
        <f t="shared" ref="C271:S273" si="115">C277+C283+C289+C295</f>
        <v>55000000</v>
      </c>
      <c r="D271" s="423">
        <f t="shared" si="115"/>
        <v>46391300</v>
      </c>
      <c r="E271" s="423">
        <f t="shared" si="115"/>
        <v>0</v>
      </c>
      <c r="F271" s="423">
        <f t="shared" si="115"/>
        <v>2703046.8</v>
      </c>
      <c r="G271" s="423">
        <f t="shared" si="115"/>
        <v>3689015.4600000004</v>
      </c>
      <c r="H271" s="423">
        <f t="shared" si="115"/>
        <v>4266601.1999999993</v>
      </c>
      <c r="I271" s="423">
        <f t="shared" si="115"/>
        <v>3768319.3</v>
      </c>
      <c r="J271" s="423">
        <f t="shared" si="115"/>
        <v>4546437.42</v>
      </c>
      <c r="K271" s="423">
        <f t="shared" si="115"/>
        <v>3856899.3699999992</v>
      </c>
      <c r="L271" s="423">
        <f t="shared" si="115"/>
        <v>3866014.4199999981</v>
      </c>
      <c r="M271" s="423">
        <f t="shared" si="115"/>
        <v>3114641.6</v>
      </c>
      <c r="N271" s="423">
        <f t="shared" si="115"/>
        <v>3952058.6700000004</v>
      </c>
      <c r="O271" s="423">
        <f t="shared" si="115"/>
        <v>4001152.74</v>
      </c>
      <c r="P271" s="423">
        <f t="shared" si="115"/>
        <v>4720078.79</v>
      </c>
      <c r="Q271" s="423">
        <f t="shared" si="115"/>
        <v>3906915.0099999993</v>
      </c>
      <c r="R271" s="423">
        <f t="shared" si="115"/>
        <v>46391180.780000001</v>
      </c>
      <c r="S271" s="423">
        <f t="shared" si="115"/>
        <v>119.22000000206754</v>
      </c>
    </row>
    <row r="272" spans="1:19" ht="19.5" customHeight="1" x14ac:dyDescent="0.2">
      <c r="A272" s="408"/>
      <c r="B272" s="409" t="s">
        <v>40</v>
      </c>
      <c r="C272" s="423">
        <f t="shared" si="115"/>
        <v>0</v>
      </c>
      <c r="D272" s="423">
        <f t="shared" si="115"/>
        <v>0</v>
      </c>
      <c r="E272" s="423">
        <f t="shared" si="115"/>
        <v>0</v>
      </c>
      <c r="F272" s="423">
        <f t="shared" si="115"/>
        <v>0</v>
      </c>
      <c r="G272" s="423">
        <f t="shared" si="115"/>
        <v>0</v>
      </c>
      <c r="H272" s="423">
        <f t="shared" si="115"/>
        <v>0</v>
      </c>
      <c r="I272" s="423">
        <f t="shared" si="115"/>
        <v>0</v>
      </c>
      <c r="J272" s="423">
        <f t="shared" si="115"/>
        <v>0</v>
      </c>
      <c r="K272" s="423">
        <f t="shared" si="115"/>
        <v>0</v>
      </c>
      <c r="L272" s="423">
        <f t="shared" si="115"/>
        <v>0</v>
      </c>
      <c r="M272" s="423">
        <f t="shared" si="115"/>
        <v>0</v>
      </c>
      <c r="N272" s="423">
        <f t="shared" si="115"/>
        <v>0</v>
      </c>
      <c r="O272" s="423">
        <f t="shared" si="115"/>
        <v>0</v>
      </c>
      <c r="P272" s="423">
        <f t="shared" si="115"/>
        <v>0</v>
      </c>
      <c r="Q272" s="423">
        <f t="shared" si="115"/>
        <v>0</v>
      </c>
      <c r="R272" s="423">
        <f t="shared" si="115"/>
        <v>0</v>
      </c>
      <c r="S272" s="423">
        <f t="shared" si="115"/>
        <v>0</v>
      </c>
    </row>
    <row r="273" spans="1:19" ht="19.5" customHeight="1" x14ac:dyDescent="0.2">
      <c r="A273" s="408"/>
      <c r="B273" s="422" t="s">
        <v>43</v>
      </c>
      <c r="C273" s="425">
        <f t="shared" si="115"/>
        <v>0</v>
      </c>
      <c r="D273" s="425">
        <f t="shared" si="115"/>
        <v>0</v>
      </c>
      <c r="E273" s="425">
        <f t="shared" si="115"/>
        <v>0</v>
      </c>
      <c r="F273" s="425">
        <f t="shared" si="115"/>
        <v>0</v>
      </c>
      <c r="G273" s="425">
        <f t="shared" si="115"/>
        <v>0</v>
      </c>
      <c r="H273" s="425">
        <f t="shared" si="115"/>
        <v>0</v>
      </c>
      <c r="I273" s="425">
        <f t="shared" si="115"/>
        <v>0</v>
      </c>
      <c r="J273" s="425">
        <f t="shared" si="115"/>
        <v>0</v>
      </c>
      <c r="K273" s="425">
        <f t="shared" si="115"/>
        <v>0</v>
      </c>
      <c r="L273" s="425">
        <f t="shared" si="115"/>
        <v>0</v>
      </c>
      <c r="M273" s="425">
        <f t="shared" si="115"/>
        <v>0</v>
      </c>
      <c r="N273" s="425">
        <f t="shared" si="115"/>
        <v>0</v>
      </c>
      <c r="O273" s="425">
        <f t="shared" si="115"/>
        <v>0</v>
      </c>
      <c r="P273" s="425">
        <f t="shared" si="115"/>
        <v>0</v>
      </c>
      <c r="Q273" s="425">
        <f t="shared" si="115"/>
        <v>0</v>
      </c>
      <c r="R273" s="425">
        <f t="shared" si="115"/>
        <v>0</v>
      </c>
      <c r="S273" s="425">
        <f t="shared" si="115"/>
        <v>0</v>
      </c>
    </row>
    <row r="274" spans="1:19" ht="45" customHeight="1" x14ac:dyDescent="0.2">
      <c r="A274" s="413" t="s">
        <v>344</v>
      </c>
      <c r="B274" s="441" t="s">
        <v>569</v>
      </c>
      <c r="C274" s="381"/>
      <c r="D274" s="381"/>
      <c r="E274" s="403"/>
      <c r="F274" s="403"/>
      <c r="G274" s="403"/>
      <c r="H274" s="403"/>
      <c r="I274" s="403"/>
      <c r="J274" s="403"/>
      <c r="K274" s="403"/>
      <c r="L274" s="403"/>
      <c r="M274" s="403"/>
      <c r="N274" s="403"/>
      <c r="O274" s="403"/>
      <c r="P274" s="403"/>
      <c r="Q274" s="403"/>
      <c r="R274" s="403"/>
      <c r="S274" s="403"/>
    </row>
    <row r="275" spans="1:19" ht="19.5" customHeight="1" x14ac:dyDescent="0.2">
      <c r="A275" s="383"/>
      <c r="B275" s="400" t="s">
        <v>503</v>
      </c>
      <c r="C275" s="416">
        <f>SUM(C276+C279)</f>
        <v>30700000</v>
      </c>
      <c r="D275" s="416">
        <f>SUM(D276+D279)</f>
        <v>29138700</v>
      </c>
      <c r="E275" s="416">
        <f t="shared" ref="E275:S275" si="116">SUM(E276+E279)</f>
        <v>0</v>
      </c>
      <c r="F275" s="416">
        <f t="shared" si="116"/>
        <v>2402136</v>
      </c>
      <c r="G275" s="416">
        <f t="shared" si="116"/>
        <v>2410041.4000000004</v>
      </c>
      <c r="H275" s="416">
        <f t="shared" si="116"/>
        <v>2416962.5999999996</v>
      </c>
      <c r="I275" s="416">
        <f t="shared" si="116"/>
        <v>2423814.08</v>
      </c>
      <c r="J275" s="416">
        <f t="shared" si="116"/>
        <v>2425952</v>
      </c>
      <c r="K275" s="416">
        <f t="shared" si="116"/>
        <v>2429336</v>
      </c>
      <c r="L275" s="416">
        <f t="shared" si="116"/>
        <v>2427755.9999999981</v>
      </c>
      <c r="M275" s="416">
        <f t="shared" si="116"/>
        <v>2438064</v>
      </c>
      <c r="N275" s="416">
        <f t="shared" si="116"/>
        <v>2440872</v>
      </c>
      <c r="O275" s="416">
        <f t="shared" si="116"/>
        <v>2439396</v>
      </c>
      <c r="P275" s="416">
        <f t="shared" si="116"/>
        <v>2445696</v>
      </c>
      <c r="Q275" s="416">
        <f t="shared" si="116"/>
        <v>2438672</v>
      </c>
      <c r="R275" s="416">
        <f t="shared" si="116"/>
        <v>29138698.079999998</v>
      </c>
      <c r="S275" s="416">
        <f t="shared" si="116"/>
        <v>1.9200000017881393</v>
      </c>
    </row>
    <row r="276" spans="1:19" ht="19.5" customHeight="1" x14ac:dyDescent="0.2">
      <c r="A276" s="383"/>
      <c r="B276" s="400" t="s">
        <v>34</v>
      </c>
      <c r="C276" s="417">
        <f>SUM(C277:C278)</f>
        <v>30700000</v>
      </c>
      <c r="D276" s="417">
        <f>SUM(D277:D278)</f>
        <v>29138700</v>
      </c>
      <c r="E276" s="417">
        <f t="shared" ref="E276:S276" si="117">SUM(E277:E278)</f>
        <v>0</v>
      </c>
      <c r="F276" s="417">
        <f t="shared" si="117"/>
        <v>2402136</v>
      </c>
      <c r="G276" s="417">
        <f t="shared" si="117"/>
        <v>2410041.4000000004</v>
      </c>
      <c r="H276" s="417">
        <f t="shared" si="117"/>
        <v>2416962.5999999996</v>
      </c>
      <c r="I276" s="417">
        <f t="shared" si="117"/>
        <v>2423814.08</v>
      </c>
      <c r="J276" s="417">
        <f t="shared" si="117"/>
        <v>2425952</v>
      </c>
      <c r="K276" s="417">
        <f t="shared" si="117"/>
        <v>2429336</v>
      </c>
      <c r="L276" s="417">
        <f t="shared" si="117"/>
        <v>2427755.9999999981</v>
      </c>
      <c r="M276" s="417">
        <f t="shared" si="117"/>
        <v>2438064</v>
      </c>
      <c r="N276" s="417">
        <f t="shared" si="117"/>
        <v>2440872</v>
      </c>
      <c r="O276" s="417">
        <f t="shared" si="117"/>
        <v>2439396</v>
      </c>
      <c r="P276" s="417">
        <f t="shared" si="117"/>
        <v>2445696</v>
      </c>
      <c r="Q276" s="417">
        <f t="shared" si="117"/>
        <v>2438672</v>
      </c>
      <c r="R276" s="417">
        <f t="shared" si="117"/>
        <v>29138698.079999998</v>
      </c>
      <c r="S276" s="417">
        <f t="shared" si="117"/>
        <v>1.9200000017881393</v>
      </c>
    </row>
    <row r="277" spans="1:19" ht="19.5" customHeight="1" x14ac:dyDescent="0.2">
      <c r="A277" s="383"/>
      <c r="B277" s="400" t="s">
        <v>39</v>
      </c>
      <c r="C277" s="385">
        <v>30700000</v>
      </c>
      <c r="D277" s="385">
        <v>29138700</v>
      </c>
      <c r="E277" s="403"/>
      <c r="F277" s="403">
        <v>2402136</v>
      </c>
      <c r="G277" s="403">
        <v>2410041.4000000004</v>
      </c>
      <c r="H277" s="403">
        <v>2416962.5999999996</v>
      </c>
      <c r="I277" s="403">
        <v>2423814.08</v>
      </c>
      <c r="J277" s="403">
        <v>2425952</v>
      </c>
      <c r="K277" s="403">
        <v>2429336</v>
      </c>
      <c r="L277" s="403">
        <v>2427755.9999999981</v>
      </c>
      <c r="M277" s="403">
        <v>2438064</v>
      </c>
      <c r="N277" s="403">
        <v>2440872</v>
      </c>
      <c r="O277" s="403">
        <v>2439396</v>
      </c>
      <c r="P277" s="403">
        <v>2445696</v>
      </c>
      <c r="Q277" s="403">
        <v>2438672</v>
      </c>
      <c r="R277" s="403">
        <f>SUM(F277:Q277)</f>
        <v>29138698.079999998</v>
      </c>
      <c r="S277" s="385">
        <f>D277-R277</f>
        <v>1.9200000017881393</v>
      </c>
    </row>
    <row r="278" spans="1:19" ht="19.5" customHeight="1" x14ac:dyDescent="0.2">
      <c r="A278" s="383"/>
      <c r="B278" s="400" t="s">
        <v>40</v>
      </c>
      <c r="C278" s="385"/>
      <c r="D278" s="385"/>
      <c r="E278" s="403"/>
      <c r="F278" s="403"/>
      <c r="G278" s="403">
        <v>0</v>
      </c>
      <c r="H278" s="403">
        <v>0</v>
      </c>
      <c r="I278" s="403">
        <v>0</v>
      </c>
      <c r="J278" s="403">
        <v>0</v>
      </c>
      <c r="K278" s="403">
        <v>0</v>
      </c>
      <c r="L278" s="403">
        <v>0</v>
      </c>
      <c r="M278" s="403">
        <v>0</v>
      </c>
      <c r="N278" s="403">
        <v>0</v>
      </c>
      <c r="O278" s="403">
        <v>0</v>
      </c>
      <c r="P278" s="403">
        <v>0</v>
      </c>
      <c r="Q278" s="403">
        <v>0</v>
      </c>
      <c r="R278" s="403">
        <f>SUM(F278:Q278)</f>
        <v>0</v>
      </c>
      <c r="S278" s="385">
        <f>D278-R278</f>
        <v>0</v>
      </c>
    </row>
    <row r="279" spans="1:19" ht="19.5" customHeight="1" x14ac:dyDescent="0.2">
      <c r="A279" s="383"/>
      <c r="B279" s="400" t="s">
        <v>43</v>
      </c>
      <c r="C279" s="385"/>
      <c r="D279" s="385"/>
      <c r="E279" s="403"/>
      <c r="F279" s="403"/>
      <c r="G279" s="403">
        <v>0</v>
      </c>
      <c r="H279" s="403">
        <v>0</v>
      </c>
      <c r="I279" s="403">
        <v>0</v>
      </c>
      <c r="J279" s="403">
        <v>0</v>
      </c>
      <c r="K279" s="403">
        <v>0</v>
      </c>
      <c r="L279" s="403">
        <v>0</v>
      </c>
      <c r="M279" s="403">
        <v>0</v>
      </c>
      <c r="N279" s="403">
        <v>0</v>
      </c>
      <c r="O279" s="403">
        <v>0</v>
      </c>
      <c r="P279" s="403">
        <v>0</v>
      </c>
      <c r="Q279" s="403">
        <v>0</v>
      </c>
      <c r="R279" s="403">
        <f>SUM(F279:Q279)</f>
        <v>0</v>
      </c>
      <c r="S279" s="385">
        <f>D279-R279</f>
        <v>0</v>
      </c>
    </row>
    <row r="280" spans="1:19" ht="37.5" customHeight="1" x14ac:dyDescent="0.2">
      <c r="A280" s="413" t="s">
        <v>346</v>
      </c>
      <c r="B280" s="414" t="s">
        <v>570</v>
      </c>
      <c r="C280" s="381"/>
      <c r="D280" s="381"/>
      <c r="E280" s="403"/>
      <c r="F280" s="403"/>
      <c r="G280" s="403"/>
      <c r="H280" s="403"/>
      <c r="I280" s="403"/>
      <c r="J280" s="403"/>
      <c r="K280" s="403"/>
      <c r="L280" s="403"/>
      <c r="M280" s="403"/>
      <c r="N280" s="403"/>
      <c r="O280" s="403"/>
      <c r="P280" s="403"/>
      <c r="Q280" s="403"/>
      <c r="R280" s="403"/>
      <c r="S280" s="385"/>
    </row>
    <row r="281" spans="1:19" ht="19.5" customHeight="1" x14ac:dyDescent="0.2">
      <c r="A281" s="383"/>
      <c r="B281" s="400" t="s">
        <v>503</v>
      </c>
      <c r="C281" s="416">
        <f>SUM(C282+C285)</f>
        <v>5000000</v>
      </c>
      <c r="D281" s="416">
        <f>SUM(D282+D285)</f>
        <v>3648100</v>
      </c>
      <c r="E281" s="416">
        <f t="shared" ref="E281:S281" si="118">SUM(E282+E285)</f>
        <v>0</v>
      </c>
      <c r="F281" s="416">
        <f t="shared" si="118"/>
        <v>300910.8</v>
      </c>
      <c r="G281" s="416">
        <f t="shared" si="118"/>
        <v>302095.2</v>
      </c>
      <c r="H281" s="416">
        <f t="shared" si="118"/>
        <v>303441</v>
      </c>
      <c r="I281" s="416">
        <f t="shared" si="118"/>
        <v>304454.30000000005</v>
      </c>
      <c r="J281" s="416">
        <f t="shared" si="118"/>
        <v>304340.30000000005</v>
      </c>
      <c r="K281" s="416">
        <f t="shared" si="118"/>
        <v>304924.09999999986</v>
      </c>
      <c r="L281" s="416">
        <f t="shared" si="118"/>
        <v>304070.09999999986</v>
      </c>
      <c r="M281" s="416">
        <f t="shared" si="118"/>
        <v>305507.60000000009</v>
      </c>
      <c r="N281" s="416">
        <f t="shared" si="118"/>
        <v>304292.80000000028</v>
      </c>
      <c r="O281" s="416">
        <f t="shared" si="118"/>
        <v>303902</v>
      </c>
      <c r="P281" s="416">
        <f t="shared" si="118"/>
        <v>305679.79999999981</v>
      </c>
      <c r="Q281" s="416">
        <f t="shared" si="118"/>
        <v>304418.60000000009</v>
      </c>
      <c r="R281" s="416">
        <f t="shared" si="118"/>
        <v>3648036.6</v>
      </c>
      <c r="S281" s="416">
        <f t="shared" si="118"/>
        <v>63.399999999906868</v>
      </c>
    </row>
    <row r="282" spans="1:19" ht="19.5" customHeight="1" x14ac:dyDescent="0.2">
      <c r="A282" s="383"/>
      <c r="B282" s="400" t="s">
        <v>34</v>
      </c>
      <c r="C282" s="417">
        <f>SUM(C283:C284)</f>
        <v>5000000</v>
      </c>
      <c r="D282" s="417">
        <f>SUM(D283:D284)</f>
        <v>3648100</v>
      </c>
      <c r="E282" s="417">
        <f t="shared" ref="E282:S282" si="119">SUM(E283:E284)</f>
        <v>0</v>
      </c>
      <c r="F282" s="417">
        <f t="shared" si="119"/>
        <v>300910.8</v>
      </c>
      <c r="G282" s="417">
        <f t="shared" si="119"/>
        <v>302095.2</v>
      </c>
      <c r="H282" s="417">
        <f t="shared" si="119"/>
        <v>303441</v>
      </c>
      <c r="I282" s="417">
        <f t="shared" si="119"/>
        <v>304454.30000000005</v>
      </c>
      <c r="J282" s="417">
        <f t="shared" si="119"/>
        <v>304340.30000000005</v>
      </c>
      <c r="K282" s="417">
        <f t="shared" si="119"/>
        <v>304924.09999999986</v>
      </c>
      <c r="L282" s="417">
        <f t="shared" si="119"/>
        <v>304070.09999999986</v>
      </c>
      <c r="M282" s="417">
        <f t="shared" si="119"/>
        <v>305507.60000000009</v>
      </c>
      <c r="N282" s="417">
        <f t="shared" si="119"/>
        <v>304292.80000000028</v>
      </c>
      <c r="O282" s="417">
        <f t="shared" si="119"/>
        <v>303902</v>
      </c>
      <c r="P282" s="417">
        <f t="shared" si="119"/>
        <v>305679.79999999981</v>
      </c>
      <c r="Q282" s="417">
        <f t="shared" si="119"/>
        <v>304418.60000000009</v>
      </c>
      <c r="R282" s="417">
        <f t="shared" si="119"/>
        <v>3648036.6</v>
      </c>
      <c r="S282" s="417">
        <f t="shared" si="119"/>
        <v>63.399999999906868</v>
      </c>
    </row>
    <row r="283" spans="1:19" ht="19.5" customHeight="1" x14ac:dyDescent="0.2">
      <c r="A283" s="383"/>
      <c r="B283" s="400" t="s">
        <v>39</v>
      </c>
      <c r="C283" s="385">
        <v>5000000</v>
      </c>
      <c r="D283" s="385">
        <v>3648100</v>
      </c>
      <c r="E283" s="403"/>
      <c r="F283" s="403">
        <v>300910.8</v>
      </c>
      <c r="G283" s="403">
        <v>302095.2</v>
      </c>
      <c r="H283" s="403">
        <v>303441</v>
      </c>
      <c r="I283" s="403">
        <v>304454.30000000005</v>
      </c>
      <c r="J283" s="403">
        <v>304340.30000000005</v>
      </c>
      <c r="K283" s="403">
        <v>304924.09999999986</v>
      </c>
      <c r="L283" s="403">
        <v>304070.09999999986</v>
      </c>
      <c r="M283" s="403">
        <v>305507.60000000009</v>
      </c>
      <c r="N283" s="403">
        <v>304292.80000000028</v>
      </c>
      <c r="O283" s="403">
        <v>303902</v>
      </c>
      <c r="P283" s="403">
        <v>305679.79999999981</v>
      </c>
      <c r="Q283" s="403">
        <v>304418.60000000009</v>
      </c>
      <c r="R283" s="403">
        <f>SUM(F283:Q283)</f>
        <v>3648036.6</v>
      </c>
      <c r="S283" s="385">
        <f>D283-R283</f>
        <v>63.399999999906868</v>
      </c>
    </row>
    <row r="284" spans="1:19" ht="19.5" customHeight="1" x14ac:dyDescent="0.2">
      <c r="A284" s="383"/>
      <c r="B284" s="400" t="s">
        <v>40</v>
      </c>
      <c r="C284" s="385"/>
      <c r="D284" s="385"/>
      <c r="E284" s="403"/>
      <c r="F284" s="403"/>
      <c r="G284" s="403">
        <v>0</v>
      </c>
      <c r="H284" s="403">
        <v>0</v>
      </c>
      <c r="I284" s="403">
        <v>0</v>
      </c>
      <c r="J284" s="403">
        <v>0</v>
      </c>
      <c r="K284" s="403">
        <v>0</v>
      </c>
      <c r="L284" s="403">
        <v>0</v>
      </c>
      <c r="M284" s="403"/>
      <c r="N284" s="403">
        <v>0</v>
      </c>
      <c r="O284" s="403">
        <v>0</v>
      </c>
      <c r="P284" s="403">
        <v>0</v>
      </c>
      <c r="Q284" s="403">
        <v>0</v>
      </c>
      <c r="R284" s="403">
        <f>SUM(F284:Q284)</f>
        <v>0</v>
      </c>
      <c r="S284" s="385">
        <f>D284-R284</f>
        <v>0</v>
      </c>
    </row>
    <row r="285" spans="1:19" ht="19.5" customHeight="1" x14ac:dyDescent="0.2">
      <c r="A285" s="383"/>
      <c r="B285" s="400" t="s">
        <v>43</v>
      </c>
      <c r="C285" s="385"/>
      <c r="D285" s="385"/>
      <c r="E285" s="403"/>
      <c r="F285" s="403"/>
      <c r="G285" s="403">
        <v>0</v>
      </c>
      <c r="H285" s="403">
        <v>0</v>
      </c>
      <c r="I285" s="403">
        <v>0</v>
      </c>
      <c r="J285" s="403">
        <v>0</v>
      </c>
      <c r="K285" s="403">
        <v>0</v>
      </c>
      <c r="L285" s="403">
        <v>0</v>
      </c>
      <c r="M285" s="403"/>
      <c r="N285" s="403">
        <v>0</v>
      </c>
      <c r="O285" s="403">
        <v>0</v>
      </c>
      <c r="P285" s="403">
        <v>0</v>
      </c>
      <c r="Q285" s="403">
        <v>0</v>
      </c>
      <c r="R285" s="403">
        <f>SUM(F285:Q285)</f>
        <v>0</v>
      </c>
      <c r="S285" s="385">
        <f>D285-R285</f>
        <v>0</v>
      </c>
    </row>
    <row r="286" spans="1:19" ht="40.5" customHeight="1" x14ac:dyDescent="0.2">
      <c r="A286" s="413" t="s">
        <v>348</v>
      </c>
      <c r="B286" s="414" t="s">
        <v>571</v>
      </c>
      <c r="C286" s="381"/>
      <c r="D286" s="381"/>
      <c r="E286" s="403"/>
      <c r="F286" s="403"/>
      <c r="G286" s="403"/>
      <c r="H286" s="403"/>
      <c r="I286" s="403"/>
      <c r="J286" s="403"/>
      <c r="K286" s="403"/>
      <c r="L286" s="403"/>
      <c r="M286" s="403"/>
      <c r="N286" s="403"/>
      <c r="O286" s="403"/>
      <c r="P286" s="403"/>
      <c r="Q286" s="403"/>
      <c r="R286" s="403"/>
      <c r="S286" s="385"/>
    </row>
    <row r="287" spans="1:19" ht="19.5" customHeight="1" x14ac:dyDescent="0.2">
      <c r="A287" s="383"/>
      <c r="B287" s="400" t="s">
        <v>503</v>
      </c>
      <c r="C287" s="416">
        <f>SUM(C288+C291)</f>
        <v>7300000</v>
      </c>
      <c r="D287" s="416">
        <f>SUM(D288+D291)</f>
        <v>4451500</v>
      </c>
      <c r="E287" s="416">
        <f t="shared" ref="E287:S287" si="120">SUM(E288+E291)</f>
        <v>0</v>
      </c>
      <c r="F287" s="416">
        <f t="shared" si="120"/>
        <v>0</v>
      </c>
      <c r="G287" s="416">
        <f t="shared" si="120"/>
        <v>293796</v>
      </c>
      <c r="H287" s="416">
        <f t="shared" si="120"/>
        <v>804370</v>
      </c>
      <c r="I287" s="416">
        <f t="shared" si="120"/>
        <v>376519</v>
      </c>
      <c r="J287" s="416">
        <f t="shared" si="120"/>
        <v>368480</v>
      </c>
      <c r="K287" s="416">
        <f t="shared" si="120"/>
        <v>371520</v>
      </c>
      <c r="L287" s="416">
        <f t="shared" si="120"/>
        <v>371424.5</v>
      </c>
      <c r="M287" s="416">
        <f t="shared" si="120"/>
        <v>371070</v>
      </c>
      <c r="N287" s="416">
        <f t="shared" si="120"/>
        <v>371205</v>
      </c>
      <c r="O287" s="416">
        <f t="shared" si="120"/>
        <v>377640</v>
      </c>
      <c r="P287" s="416">
        <f t="shared" si="120"/>
        <v>370757</v>
      </c>
      <c r="Q287" s="416">
        <f t="shared" si="120"/>
        <v>374674</v>
      </c>
      <c r="R287" s="416">
        <f t="shared" si="120"/>
        <v>4451455.5</v>
      </c>
      <c r="S287" s="416">
        <f t="shared" si="120"/>
        <v>44.5</v>
      </c>
    </row>
    <row r="288" spans="1:19" ht="19.5" customHeight="1" x14ac:dyDescent="0.2">
      <c r="A288" s="383"/>
      <c r="B288" s="400" t="s">
        <v>34</v>
      </c>
      <c r="C288" s="417">
        <f>SUM(C289:C290)</f>
        <v>7300000</v>
      </c>
      <c r="D288" s="417">
        <f>SUM(D289:D290)</f>
        <v>4451500</v>
      </c>
      <c r="E288" s="417">
        <f t="shared" ref="E288:S288" si="121">SUM(E289:E290)</f>
        <v>0</v>
      </c>
      <c r="F288" s="417">
        <f t="shared" si="121"/>
        <v>0</v>
      </c>
      <c r="G288" s="417">
        <f t="shared" si="121"/>
        <v>293796</v>
      </c>
      <c r="H288" s="417">
        <f t="shared" si="121"/>
        <v>804370</v>
      </c>
      <c r="I288" s="417">
        <f t="shared" si="121"/>
        <v>376519</v>
      </c>
      <c r="J288" s="417">
        <f t="shared" si="121"/>
        <v>368480</v>
      </c>
      <c r="K288" s="417">
        <f t="shared" si="121"/>
        <v>371520</v>
      </c>
      <c r="L288" s="417">
        <f t="shared" si="121"/>
        <v>371424.5</v>
      </c>
      <c r="M288" s="417">
        <f t="shared" si="121"/>
        <v>371070</v>
      </c>
      <c r="N288" s="417">
        <f t="shared" si="121"/>
        <v>371205</v>
      </c>
      <c r="O288" s="417">
        <f t="shared" si="121"/>
        <v>377640</v>
      </c>
      <c r="P288" s="417">
        <f t="shared" si="121"/>
        <v>370757</v>
      </c>
      <c r="Q288" s="417">
        <f t="shared" si="121"/>
        <v>374674</v>
      </c>
      <c r="R288" s="417">
        <f t="shared" si="121"/>
        <v>4451455.5</v>
      </c>
      <c r="S288" s="417">
        <f t="shared" si="121"/>
        <v>44.5</v>
      </c>
    </row>
    <row r="289" spans="1:19" ht="19.5" customHeight="1" x14ac:dyDescent="0.2">
      <c r="A289" s="383"/>
      <c r="B289" s="400" t="s">
        <v>39</v>
      </c>
      <c r="C289" s="385">
        <v>7300000</v>
      </c>
      <c r="D289" s="385">
        <v>4451500</v>
      </c>
      <c r="E289" s="403"/>
      <c r="F289" s="403">
        <v>0</v>
      </c>
      <c r="G289" s="403">
        <v>293796</v>
      </c>
      <c r="H289" s="403">
        <v>804370</v>
      </c>
      <c r="I289" s="403">
        <v>376519</v>
      </c>
      <c r="J289" s="403">
        <v>368480</v>
      </c>
      <c r="K289" s="403">
        <v>371520</v>
      </c>
      <c r="L289" s="403">
        <v>371424.5</v>
      </c>
      <c r="M289" s="403">
        <v>371070</v>
      </c>
      <c r="N289" s="403">
        <v>371205</v>
      </c>
      <c r="O289" s="403">
        <v>377640</v>
      </c>
      <c r="P289" s="403">
        <v>370757</v>
      </c>
      <c r="Q289" s="403">
        <v>374674</v>
      </c>
      <c r="R289" s="403">
        <f>SUM(F289:Q289)</f>
        <v>4451455.5</v>
      </c>
      <c r="S289" s="385">
        <f>D289-R289</f>
        <v>44.5</v>
      </c>
    </row>
    <row r="290" spans="1:19" ht="19.5" customHeight="1" x14ac:dyDescent="0.2">
      <c r="A290" s="383"/>
      <c r="B290" s="400" t="s">
        <v>40</v>
      </c>
      <c r="C290" s="385"/>
      <c r="D290" s="385"/>
      <c r="E290" s="403"/>
      <c r="F290" s="403"/>
      <c r="G290" s="403">
        <v>0</v>
      </c>
      <c r="H290" s="403">
        <v>0</v>
      </c>
      <c r="I290" s="403">
        <v>0</v>
      </c>
      <c r="J290" s="403">
        <v>0</v>
      </c>
      <c r="K290" s="403">
        <v>0</v>
      </c>
      <c r="L290" s="403">
        <v>0</v>
      </c>
      <c r="M290" s="403">
        <v>0</v>
      </c>
      <c r="N290" s="403">
        <v>0</v>
      </c>
      <c r="O290" s="403">
        <v>0</v>
      </c>
      <c r="P290" s="403">
        <v>0</v>
      </c>
      <c r="Q290" s="403">
        <v>0</v>
      </c>
      <c r="R290" s="403">
        <f>SUM(F290:Q290)</f>
        <v>0</v>
      </c>
      <c r="S290" s="385">
        <f>D290-R290</f>
        <v>0</v>
      </c>
    </row>
    <row r="291" spans="1:19" ht="19.5" customHeight="1" x14ac:dyDescent="0.2">
      <c r="A291" s="383"/>
      <c r="B291" s="400" t="s">
        <v>43</v>
      </c>
      <c r="C291" s="385"/>
      <c r="D291" s="385"/>
      <c r="E291" s="403"/>
      <c r="F291" s="403"/>
      <c r="G291" s="403">
        <v>0</v>
      </c>
      <c r="H291" s="403">
        <v>0</v>
      </c>
      <c r="I291" s="403">
        <v>0</v>
      </c>
      <c r="J291" s="403">
        <v>0</v>
      </c>
      <c r="K291" s="403">
        <v>0</v>
      </c>
      <c r="L291" s="403">
        <v>0</v>
      </c>
      <c r="M291" s="403">
        <v>0</v>
      </c>
      <c r="N291" s="403">
        <v>0</v>
      </c>
      <c r="O291" s="403">
        <v>0</v>
      </c>
      <c r="P291" s="403">
        <v>0</v>
      </c>
      <c r="Q291" s="403">
        <v>0</v>
      </c>
      <c r="R291" s="403">
        <f>SUM(F291:Q291)</f>
        <v>0</v>
      </c>
      <c r="S291" s="385">
        <f>D291-R291</f>
        <v>0</v>
      </c>
    </row>
    <row r="292" spans="1:19" ht="33.75" customHeight="1" x14ac:dyDescent="0.2">
      <c r="A292" s="413" t="s">
        <v>350</v>
      </c>
      <c r="B292" s="414" t="s">
        <v>572</v>
      </c>
      <c r="C292" s="381"/>
      <c r="D292" s="381"/>
      <c r="E292" s="403"/>
      <c r="F292" s="403"/>
      <c r="G292" s="403"/>
      <c r="H292" s="403"/>
      <c r="I292" s="403"/>
      <c r="J292" s="403"/>
      <c r="K292" s="403"/>
      <c r="L292" s="403"/>
      <c r="M292" s="403"/>
      <c r="N292" s="403"/>
      <c r="O292" s="403"/>
      <c r="P292" s="403"/>
      <c r="Q292" s="403"/>
      <c r="R292" s="403"/>
      <c r="S292" s="385"/>
    </row>
    <row r="293" spans="1:19" ht="19.5" customHeight="1" x14ac:dyDescent="0.2">
      <c r="A293" s="383"/>
      <c r="B293" s="400" t="s">
        <v>503</v>
      </c>
      <c r="C293" s="416">
        <f>SUM(C294+C297)</f>
        <v>12000000</v>
      </c>
      <c r="D293" s="416">
        <f>SUM(D294+D297)</f>
        <v>9153000</v>
      </c>
      <c r="E293" s="416">
        <f t="shared" ref="E293:S293" si="122">SUM(E294+E297)</f>
        <v>0</v>
      </c>
      <c r="F293" s="416">
        <f t="shared" si="122"/>
        <v>0</v>
      </c>
      <c r="G293" s="416">
        <f t="shared" si="122"/>
        <v>683082.86</v>
      </c>
      <c r="H293" s="416">
        <f t="shared" si="122"/>
        <v>741827.6</v>
      </c>
      <c r="I293" s="416">
        <f t="shared" si="122"/>
        <v>663531.91999999993</v>
      </c>
      <c r="J293" s="416">
        <f t="shared" si="122"/>
        <v>1447665.12</v>
      </c>
      <c r="K293" s="416">
        <f t="shared" si="122"/>
        <v>751119.26999999955</v>
      </c>
      <c r="L293" s="416">
        <f t="shared" si="122"/>
        <v>762763.8200000003</v>
      </c>
      <c r="M293" s="416">
        <f t="shared" si="122"/>
        <v>0</v>
      </c>
      <c r="N293" s="416">
        <f t="shared" si="122"/>
        <v>835688.87000000011</v>
      </c>
      <c r="O293" s="416">
        <f t="shared" si="122"/>
        <v>880214.74000000022</v>
      </c>
      <c r="P293" s="416">
        <f t="shared" si="122"/>
        <v>1597945.9900000002</v>
      </c>
      <c r="Q293" s="416">
        <f t="shared" si="122"/>
        <v>789150.40999999922</v>
      </c>
      <c r="R293" s="416">
        <f t="shared" si="122"/>
        <v>9152990.5999999996</v>
      </c>
      <c r="S293" s="416">
        <f t="shared" si="122"/>
        <v>9.400000000372529</v>
      </c>
    </row>
    <row r="294" spans="1:19" ht="19.5" customHeight="1" x14ac:dyDescent="0.2">
      <c r="A294" s="383"/>
      <c r="B294" s="400" t="s">
        <v>34</v>
      </c>
      <c r="C294" s="417">
        <f>SUM(C295:C296)</f>
        <v>12000000</v>
      </c>
      <c r="D294" s="417">
        <f>SUM(D295:D296)</f>
        <v>9153000</v>
      </c>
      <c r="E294" s="417">
        <f t="shared" ref="E294:S294" si="123">SUM(E295:E296)</f>
        <v>0</v>
      </c>
      <c r="F294" s="417">
        <f t="shared" si="123"/>
        <v>0</v>
      </c>
      <c r="G294" s="417">
        <f t="shared" si="123"/>
        <v>683082.86</v>
      </c>
      <c r="H294" s="417">
        <f t="shared" si="123"/>
        <v>741827.6</v>
      </c>
      <c r="I294" s="417">
        <f t="shared" si="123"/>
        <v>663531.91999999993</v>
      </c>
      <c r="J294" s="417">
        <f t="shared" si="123"/>
        <v>1447665.12</v>
      </c>
      <c r="K294" s="417">
        <f t="shared" si="123"/>
        <v>751119.26999999955</v>
      </c>
      <c r="L294" s="417">
        <f t="shared" si="123"/>
        <v>762763.8200000003</v>
      </c>
      <c r="M294" s="417">
        <f t="shared" si="123"/>
        <v>0</v>
      </c>
      <c r="N294" s="417">
        <f t="shared" si="123"/>
        <v>835688.87000000011</v>
      </c>
      <c r="O294" s="417">
        <f t="shared" si="123"/>
        <v>880214.74000000022</v>
      </c>
      <c r="P294" s="417">
        <f t="shared" si="123"/>
        <v>1597945.9900000002</v>
      </c>
      <c r="Q294" s="417">
        <f t="shared" si="123"/>
        <v>789150.40999999922</v>
      </c>
      <c r="R294" s="417">
        <f t="shared" si="123"/>
        <v>9152990.5999999996</v>
      </c>
      <c r="S294" s="417">
        <f t="shared" si="123"/>
        <v>9.400000000372529</v>
      </c>
    </row>
    <row r="295" spans="1:19" ht="19.5" customHeight="1" x14ac:dyDescent="0.2">
      <c r="A295" s="383"/>
      <c r="B295" s="400" t="s">
        <v>39</v>
      </c>
      <c r="C295" s="385">
        <v>12000000</v>
      </c>
      <c r="D295" s="385">
        <v>9153000</v>
      </c>
      <c r="E295" s="403"/>
      <c r="F295" s="403"/>
      <c r="G295" s="403">
        <v>683082.86</v>
      </c>
      <c r="H295" s="403">
        <v>741827.6</v>
      </c>
      <c r="I295" s="403">
        <v>663531.91999999993</v>
      </c>
      <c r="J295" s="403">
        <v>1447665.12</v>
      </c>
      <c r="K295" s="403">
        <v>751119.26999999955</v>
      </c>
      <c r="L295" s="403">
        <v>762763.8200000003</v>
      </c>
      <c r="M295" s="403">
        <v>0</v>
      </c>
      <c r="N295" s="403">
        <v>835688.87000000011</v>
      </c>
      <c r="O295" s="403">
        <v>880214.74000000022</v>
      </c>
      <c r="P295" s="403">
        <v>1597945.9900000002</v>
      </c>
      <c r="Q295" s="403">
        <v>789150.40999999922</v>
      </c>
      <c r="R295" s="403">
        <f>SUM(F295:Q295)</f>
        <v>9152990.5999999996</v>
      </c>
      <c r="S295" s="385">
        <f>D295-R295</f>
        <v>9.400000000372529</v>
      </c>
    </row>
    <row r="296" spans="1:19" ht="19.5" customHeight="1" x14ac:dyDescent="0.2">
      <c r="A296" s="383"/>
      <c r="B296" s="400" t="s">
        <v>40</v>
      </c>
      <c r="C296" s="385"/>
      <c r="D296" s="385"/>
      <c r="E296" s="403"/>
      <c r="F296" s="403"/>
      <c r="G296" s="403">
        <v>0</v>
      </c>
      <c r="H296" s="403">
        <v>0</v>
      </c>
      <c r="I296" s="403">
        <v>0</v>
      </c>
      <c r="J296" s="403">
        <v>0</v>
      </c>
      <c r="K296" s="403">
        <v>0</v>
      </c>
      <c r="L296" s="403">
        <v>0</v>
      </c>
      <c r="M296" s="403">
        <v>0</v>
      </c>
      <c r="N296" s="403">
        <v>0</v>
      </c>
      <c r="O296" s="403">
        <v>0</v>
      </c>
      <c r="P296" s="403">
        <v>0</v>
      </c>
      <c r="Q296" s="403">
        <v>0</v>
      </c>
      <c r="R296" s="403">
        <f>SUM(F296:Q296)</f>
        <v>0</v>
      </c>
      <c r="S296" s="385">
        <f>D296-R296</f>
        <v>0</v>
      </c>
    </row>
    <row r="297" spans="1:19" ht="19.5" customHeight="1" x14ac:dyDescent="0.2">
      <c r="A297" s="383"/>
      <c r="B297" s="400" t="s">
        <v>43</v>
      </c>
      <c r="C297" s="385"/>
      <c r="D297" s="385"/>
      <c r="E297" s="403"/>
      <c r="F297" s="403"/>
      <c r="G297" s="403">
        <v>0</v>
      </c>
      <c r="H297" s="403">
        <v>0</v>
      </c>
      <c r="I297" s="403">
        <v>0</v>
      </c>
      <c r="J297" s="403">
        <v>0</v>
      </c>
      <c r="K297" s="403">
        <v>0</v>
      </c>
      <c r="L297" s="403">
        <v>0</v>
      </c>
      <c r="M297" s="403">
        <v>0</v>
      </c>
      <c r="N297" s="403">
        <v>0</v>
      </c>
      <c r="O297" s="403">
        <v>0</v>
      </c>
      <c r="P297" s="403">
        <v>0</v>
      </c>
      <c r="Q297" s="403">
        <v>0</v>
      </c>
      <c r="R297" s="403">
        <f>SUM(F297:Q297)</f>
        <v>0</v>
      </c>
      <c r="S297" s="385">
        <f>D297-R297</f>
        <v>0</v>
      </c>
    </row>
    <row r="298" spans="1:19" ht="36.75" customHeight="1" x14ac:dyDescent="0.2">
      <c r="A298" s="442" t="s">
        <v>573</v>
      </c>
      <c r="B298" s="443" t="s">
        <v>574</v>
      </c>
      <c r="C298" s="444"/>
      <c r="D298" s="444"/>
      <c r="E298" s="445"/>
      <c r="F298" s="445"/>
      <c r="G298" s="445"/>
      <c r="H298" s="445"/>
      <c r="I298" s="445"/>
      <c r="J298" s="445"/>
      <c r="K298" s="445"/>
      <c r="L298" s="445"/>
      <c r="M298" s="445"/>
      <c r="N298" s="445"/>
      <c r="O298" s="445"/>
      <c r="P298" s="445"/>
      <c r="Q298" s="445"/>
      <c r="R298" s="445"/>
      <c r="S298" s="445"/>
    </row>
    <row r="299" spans="1:19" ht="19.5" customHeight="1" x14ac:dyDescent="0.2">
      <c r="A299" s="442"/>
      <c r="B299" s="446" t="s">
        <v>503</v>
      </c>
      <c r="C299" s="444">
        <f>C300+C304+C305+C306</f>
        <v>906741000</v>
      </c>
      <c r="D299" s="444">
        <f>D300+D304+D305+D306</f>
        <v>938470200</v>
      </c>
      <c r="E299" s="444">
        <f t="shared" ref="E299:S299" si="124">E300+E304+E305+E306</f>
        <v>0</v>
      </c>
      <c r="F299" s="444">
        <f t="shared" si="124"/>
        <v>64784036.989999995</v>
      </c>
      <c r="G299" s="444">
        <f t="shared" si="124"/>
        <v>76814601.739999995</v>
      </c>
      <c r="H299" s="444">
        <f t="shared" si="124"/>
        <v>76894633.279999986</v>
      </c>
      <c r="I299" s="444">
        <f t="shared" si="124"/>
        <v>76884413.159999996</v>
      </c>
      <c r="J299" s="444">
        <f t="shared" si="124"/>
        <v>75987904.070000023</v>
      </c>
      <c r="K299" s="444">
        <f t="shared" si="124"/>
        <v>73847073.249999985</v>
      </c>
      <c r="L299" s="444">
        <f t="shared" si="124"/>
        <v>77889195.00999999</v>
      </c>
      <c r="M299" s="444">
        <f t="shared" si="124"/>
        <v>73327849.160000026</v>
      </c>
      <c r="N299" s="444">
        <f t="shared" si="124"/>
        <v>66331206.190000027</v>
      </c>
      <c r="O299" s="444">
        <f t="shared" si="124"/>
        <v>94770349.26000002</v>
      </c>
      <c r="P299" s="444">
        <f t="shared" si="124"/>
        <v>80102407.169999942</v>
      </c>
      <c r="Q299" s="444">
        <f t="shared" si="124"/>
        <v>100326745.09999998</v>
      </c>
      <c r="R299" s="444">
        <f t="shared" si="124"/>
        <v>937960414.37999988</v>
      </c>
      <c r="S299" s="444">
        <f t="shared" si="124"/>
        <v>509785.62000004534</v>
      </c>
    </row>
    <row r="300" spans="1:19" ht="19.5" customHeight="1" x14ac:dyDescent="0.2">
      <c r="A300" s="442"/>
      <c r="B300" s="446" t="s">
        <v>34</v>
      </c>
      <c r="C300" s="444">
        <f>SUM(C301:C303)</f>
        <v>906741000</v>
      </c>
      <c r="D300" s="444">
        <f>SUM(D301:D303)</f>
        <v>938470200</v>
      </c>
      <c r="E300" s="447">
        <f t="shared" ref="E300:S300" si="125">SUM(E301:E303)</f>
        <v>0</v>
      </c>
      <c r="F300" s="447">
        <f t="shared" si="125"/>
        <v>64784036.989999995</v>
      </c>
      <c r="G300" s="447">
        <f t="shared" si="125"/>
        <v>76814601.739999995</v>
      </c>
      <c r="H300" s="447">
        <f t="shared" si="125"/>
        <v>76894633.279999986</v>
      </c>
      <c r="I300" s="447">
        <f t="shared" si="125"/>
        <v>76884413.159999996</v>
      </c>
      <c r="J300" s="447">
        <f t="shared" si="125"/>
        <v>75987904.070000023</v>
      </c>
      <c r="K300" s="447">
        <f t="shared" si="125"/>
        <v>73847073.249999985</v>
      </c>
      <c r="L300" s="447">
        <f t="shared" si="125"/>
        <v>77889195.00999999</v>
      </c>
      <c r="M300" s="447">
        <f t="shared" si="125"/>
        <v>73327849.160000026</v>
      </c>
      <c r="N300" s="447">
        <f t="shared" si="125"/>
        <v>66331206.190000027</v>
      </c>
      <c r="O300" s="447">
        <f t="shared" si="125"/>
        <v>94770349.26000002</v>
      </c>
      <c r="P300" s="447">
        <f t="shared" si="125"/>
        <v>80102407.169999942</v>
      </c>
      <c r="Q300" s="447">
        <f t="shared" si="125"/>
        <v>100326745.09999998</v>
      </c>
      <c r="R300" s="447">
        <f t="shared" si="125"/>
        <v>937960414.37999988</v>
      </c>
      <c r="S300" s="447">
        <f t="shared" si="125"/>
        <v>509785.62000004534</v>
      </c>
    </row>
    <row r="301" spans="1:19" ht="19.5" customHeight="1" x14ac:dyDescent="0.2">
      <c r="A301" s="442"/>
      <c r="B301" s="446" t="s">
        <v>36</v>
      </c>
      <c r="C301" s="448">
        <f t="shared" ref="C301:S303" si="126">C310+C318+C354</f>
        <v>7098000</v>
      </c>
      <c r="D301" s="444">
        <f>D310+D318+D354</f>
        <v>5978260</v>
      </c>
      <c r="E301" s="448">
        <f t="shared" si="126"/>
        <v>0</v>
      </c>
      <c r="F301" s="449">
        <f t="shared" si="126"/>
        <v>480602.97000000003</v>
      </c>
      <c r="G301" s="449">
        <f t="shared" si="126"/>
        <v>478460.54999999993</v>
      </c>
      <c r="H301" s="449">
        <f t="shared" si="126"/>
        <v>483891.46000000008</v>
      </c>
      <c r="I301" s="449">
        <f t="shared" si="126"/>
        <v>494029.02999999997</v>
      </c>
      <c r="J301" s="449">
        <f t="shared" si="126"/>
        <v>503270.35000000021</v>
      </c>
      <c r="K301" s="449">
        <f t="shared" si="126"/>
        <v>499000.75999999978</v>
      </c>
      <c r="L301" s="449">
        <f t="shared" si="126"/>
        <v>485503.94000000018</v>
      </c>
      <c r="M301" s="449">
        <f t="shared" si="126"/>
        <v>427423.38000000012</v>
      </c>
      <c r="N301" s="449">
        <f t="shared" si="126"/>
        <v>404369.85</v>
      </c>
      <c r="O301" s="449">
        <f t="shared" si="126"/>
        <v>550300.29</v>
      </c>
      <c r="P301" s="449">
        <f t="shared" si="126"/>
        <v>505201.91999999958</v>
      </c>
      <c r="Q301" s="449">
        <f t="shared" si="126"/>
        <v>626198.89000000013</v>
      </c>
      <c r="R301" s="448">
        <f t="shared" si="126"/>
        <v>5938253.3899999997</v>
      </c>
      <c r="S301" s="448">
        <f t="shared" si="126"/>
        <v>40006.610000000139</v>
      </c>
    </row>
    <row r="302" spans="1:19" ht="19.5" customHeight="1" x14ac:dyDescent="0.2">
      <c r="A302" s="442"/>
      <c r="B302" s="446" t="s">
        <v>39</v>
      </c>
      <c r="C302" s="448">
        <f t="shared" si="126"/>
        <v>899643000</v>
      </c>
      <c r="D302" s="444">
        <f t="shared" si="126"/>
        <v>931903440</v>
      </c>
      <c r="E302" s="448">
        <f t="shared" si="126"/>
        <v>0</v>
      </c>
      <c r="F302" s="449">
        <f t="shared" si="126"/>
        <v>64303434.019999996</v>
      </c>
      <c r="G302" s="449">
        <f t="shared" si="126"/>
        <v>76336141.189999998</v>
      </c>
      <c r="H302" s="449">
        <f t="shared" si="126"/>
        <v>76410741.819999993</v>
      </c>
      <c r="I302" s="449">
        <f t="shared" si="126"/>
        <v>76390384.129999995</v>
      </c>
      <c r="J302" s="449">
        <f t="shared" si="126"/>
        <v>75484633.720000029</v>
      </c>
      <c r="K302" s="449">
        <f t="shared" si="126"/>
        <v>73348072.48999998</v>
      </c>
      <c r="L302" s="449">
        <f t="shared" si="126"/>
        <v>77403691.069999993</v>
      </c>
      <c r="M302" s="449">
        <f t="shared" si="126"/>
        <v>72900425.780000031</v>
      </c>
      <c r="N302" s="449">
        <f t="shared" si="126"/>
        <v>65926836.340000026</v>
      </c>
      <c r="O302" s="449">
        <f t="shared" si="126"/>
        <v>94219548.970000014</v>
      </c>
      <c r="P302" s="449">
        <f t="shared" si="126"/>
        <v>79597205.24999994</v>
      </c>
      <c r="Q302" s="449">
        <f t="shared" si="126"/>
        <v>99113146.209999979</v>
      </c>
      <c r="R302" s="448">
        <f t="shared" si="126"/>
        <v>931434260.98999989</v>
      </c>
      <c r="S302" s="448">
        <f t="shared" si="126"/>
        <v>469179.01000004518</v>
      </c>
    </row>
    <row r="303" spans="1:19" ht="19.5" customHeight="1" x14ac:dyDescent="0.2">
      <c r="A303" s="442"/>
      <c r="B303" s="446" t="s">
        <v>40</v>
      </c>
      <c r="C303" s="448">
        <f>C312+C320+C356</f>
        <v>0</v>
      </c>
      <c r="D303" s="444">
        <f>D312+D320+D356</f>
        <v>588500</v>
      </c>
      <c r="E303" s="444">
        <f t="shared" si="126"/>
        <v>0</v>
      </c>
      <c r="F303" s="444">
        <f t="shared" si="126"/>
        <v>0</v>
      </c>
      <c r="G303" s="444">
        <f t="shared" si="126"/>
        <v>0</v>
      </c>
      <c r="H303" s="444">
        <f t="shared" si="126"/>
        <v>0</v>
      </c>
      <c r="I303" s="444">
        <f t="shared" si="126"/>
        <v>0</v>
      </c>
      <c r="J303" s="444">
        <f t="shared" si="126"/>
        <v>0</v>
      </c>
      <c r="K303" s="444">
        <f t="shared" si="126"/>
        <v>0</v>
      </c>
      <c r="L303" s="444">
        <f t="shared" si="126"/>
        <v>0</v>
      </c>
      <c r="M303" s="444">
        <f t="shared" si="126"/>
        <v>0</v>
      </c>
      <c r="N303" s="444">
        <f t="shared" si="126"/>
        <v>0</v>
      </c>
      <c r="O303" s="444">
        <f t="shared" si="126"/>
        <v>500</v>
      </c>
      <c r="P303" s="444">
        <f t="shared" si="126"/>
        <v>0</v>
      </c>
      <c r="Q303" s="444">
        <f t="shared" si="126"/>
        <v>587400</v>
      </c>
      <c r="R303" s="444">
        <f t="shared" si="126"/>
        <v>587900</v>
      </c>
      <c r="S303" s="444">
        <f t="shared" si="126"/>
        <v>600</v>
      </c>
    </row>
    <row r="304" spans="1:19" ht="19.5" customHeight="1" x14ac:dyDescent="0.2">
      <c r="A304" s="442"/>
      <c r="B304" s="450" t="s">
        <v>43</v>
      </c>
      <c r="C304" s="448">
        <f>C313+C357</f>
        <v>0</v>
      </c>
      <c r="D304" s="444">
        <f t="shared" ref="D304:S304" si="127">D313+D357</f>
        <v>0</v>
      </c>
      <c r="E304" s="448">
        <f t="shared" si="127"/>
        <v>0</v>
      </c>
      <c r="F304" s="448">
        <f t="shared" si="127"/>
        <v>0</v>
      </c>
      <c r="G304" s="448">
        <f t="shared" si="127"/>
        <v>0</v>
      </c>
      <c r="H304" s="448">
        <f t="shared" si="127"/>
        <v>0</v>
      </c>
      <c r="I304" s="448">
        <f t="shared" si="127"/>
        <v>0</v>
      </c>
      <c r="J304" s="448">
        <f t="shared" si="127"/>
        <v>0</v>
      </c>
      <c r="K304" s="448">
        <f t="shared" si="127"/>
        <v>0</v>
      </c>
      <c r="L304" s="448">
        <f t="shared" si="127"/>
        <v>0</v>
      </c>
      <c r="M304" s="448">
        <f t="shared" si="127"/>
        <v>0</v>
      </c>
      <c r="N304" s="448">
        <f t="shared" si="127"/>
        <v>0</v>
      </c>
      <c r="O304" s="448">
        <f t="shared" si="127"/>
        <v>0</v>
      </c>
      <c r="P304" s="448">
        <f t="shared" si="127"/>
        <v>0</v>
      </c>
      <c r="Q304" s="448">
        <f t="shared" si="127"/>
        <v>0</v>
      </c>
      <c r="R304" s="448">
        <f t="shared" si="127"/>
        <v>0</v>
      </c>
      <c r="S304" s="448">
        <f t="shared" si="127"/>
        <v>0</v>
      </c>
    </row>
    <row r="305" spans="1:19" ht="19.5" customHeight="1" x14ac:dyDescent="0.2">
      <c r="A305" s="442"/>
      <c r="B305" s="450" t="s">
        <v>41</v>
      </c>
      <c r="C305" s="448">
        <f>C321</f>
        <v>0</v>
      </c>
      <c r="D305" s="444">
        <f>D321</f>
        <v>0</v>
      </c>
      <c r="E305" s="448">
        <f t="shared" ref="E305:S305" si="128">E321</f>
        <v>0</v>
      </c>
      <c r="F305" s="448">
        <f t="shared" si="128"/>
        <v>0</v>
      </c>
      <c r="G305" s="448">
        <f t="shared" si="128"/>
        <v>0</v>
      </c>
      <c r="H305" s="448">
        <f t="shared" si="128"/>
        <v>0</v>
      </c>
      <c r="I305" s="448">
        <f t="shared" si="128"/>
        <v>0</v>
      </c>
      <c r="J305" s="448">
        <f t="shared" si="128"/>
        <v>0</v>
      </c>
      <c r="K305" s="448">
        <f t="shared" si="128"/>
        <v>0</v>
      </c>
      <c r="L305" s="448">
        <f t="shared" si="128"/>
        <v>0</v>
      </c>
      <c r="M305" s="448">
        <f t="shared" si="128"/>
        <v>0</v>
      </c>
      <c r="N305" s="448">
        <f t="shared" si="128"/>
        <v>0</v>
      </c>
      <c r="O305" s="448">
        <f t="shared" si="128"/>
        <v>0</v>
      </c>
      <c r="P305" s="448">
        <f t="shared" si="128"/>
        <v>0</v>
      </c>
      <c r="Q305" s="448">
        <f t="shared" si="128"/>
        <v>0</v>
      </c>
      <c r="R305" s="448">
        <f t="shared" si="128"/>
        <v>0</v>
      </c>
      <c r="S305" s="448">
        <f t="shared" si="128"/>
        <v>0</v>
      </c>
    </row>
    <row r="306" spans="1:19" ht="19.5" customHeight="1" x14ac:dyDescent="0.2">
      <c r="A306" s="442"/>
      <c r="B306" s="450" t="s">
        <v>506</v>
      </c>
      <c r="C306" s="448">
        <f t="shared" ref="C306:S306" si="129">C314</f>
        <v>0</v>
      </c>
      <c r="D306" s="444">
        <f t="shared" si="129"/>
        <v>0</v>
      </c>
      <c r="E306" s="448">
        <f t="shared" si="129"/>
        <v>0</v>
      </c>
      <c r="F306" s="448">
        <f t="shared" si="129"/>
        <v>0</v>
      </c>
      <c r="G306" s="448">
        <f t="shared" si="129"/>
        <v>0</v>
      </c>
      <c r="H306" s="448">
        <f t="shared" si="129"/>
        <v>0</v>
      </c>
      <c r="I306" s="448">
        <f t="shared" si="129"/>
        <v>0</v>
      </c>
      <c r="J306" s="448">
        <f t="shared" si="129"/>
        <v>0</v>
      </c>
      <c r="K306" s="448">
        <f t="shared" si="129"/>
        <v>0</v>
      </c>
      <c r="L306" s="448">
        <f t="shared" si="129"/>
        <v>0</v>
      </c>
      <c r="M306" s="448">
        <f t="shared" si="129"/>
        <v>0</v>
      </c>
      <c r="N306" s="448">
        <f t="shared" si="129"/>
        <v>0</v>
      </c>
      <c r="O306" s="448">
        <f t="shared" si="129"/>
        <v>0</v>
      </c>
      <c r="P306" s="448">
        <f t="shared" si="129"/>
        <v>0</v>
      </c>
      <c r="Q306" s="448">
        <f t="shared" si="129"/>
        <v>0</v>
      </c>
      <c r="R306" s="448">
        <f t="shared" si="129"/>
        <v>0</v>
      </c>
      <c r="S306" s="448">
        <f t="shared" si="129"/>
        <v>0</v>
      </c>
    </row>
    <row r="307" spans="1:19" ht="19.5" customHeight="1" x14ac:dyDescent="0.2">
      <c r="A307" s="413" t="s">
        <v>575</v>
      </c>
      <c r="B307" s="386" t="s">
        <v>576</v>
      </c>
      <c r="C307" s="419"/>
      <c r="D307" s="419"/>
      <c r="E307" s="403"/>
      <c r="F307" s="403"/>
      <c r="G307" s="403"/>
      <c r="H307" s="403"/>
      <c r="I307" s="403"/>
      <c r="J307" s="403"/>
      <c r="K307" s="403"/>
      <c r="L307" s="403"/>
      <c r="M307" s="403"/>
      <c r="N307" s="403"/>
      <c r="O307" s="403"/>
      <c r="P307" s="403"/>
      <c r="Q307" s="403"/>
      <c r="R307" s="403"/>
      <c r="S307" s="403"/>
    </row>
    <row r="308" spans="1:19" ht="19.5" customHeight="1" x14ac:dyDescent="0.2">
      <c r="A308" s="413"/>
      <c r="B308" s="400" t="s">
        <v>503</v>
      </c>
      <c r="C308" s="417">
        <f>C309+C313+C314</f>
        <v>704000000</v>
      </c>
      <c r="D308" s="417">
        <f>D309+D313+D314</f>
        <v>760410090</v>
      </c>
      <c r="E308" s="417">
        <f t="shared" ref="E308:S308" si="130">E309+E313+E314</f>
        <v>0</v>
      </c>
      <c r="F308" s="417">
        <f t="shared" si="130"/>
        <v>57557248.07</v>
      </c>
      <c r="G308" s="417">
        <f t="shared" si="130"/>
        <v>61013479.149999999</v>
      </c>
      <c r="H308" s="417">
        <f t="shared" si="130"/>
        <v>61111055.780000001</v>
      </c>
      <c r="I308" s="417">
        <f t="shared" si="130"/>
        <v>61237058.399999991</v>
      </c>
      <c r="J308" s="417">
        <f t="shared" si="130"/>
        <v>60434447.760000035</v>
      </c>
      <c r="K308" s="417">
        <f t="shared" si="130"/>
        <v>60558205.049999975</v>
      </c>
      <c r="L308" s="417">
        <f t="shared" si="130"/>
        <v>63518122.25999999</v>
      </c>
      <c r="M308" s="417">
        <f t="shared" si="130"/>
        <v>60777318.12000002</v>
      </c>
      <c r="N308" s="417">
        <f t="shared" si="130"/>
        <v>53030055.400000021</v>
      </c>
      <c r="O308" s="417">
        <f t="shared" si="130"/>
        <v>79241861.88000001</v>
      </c>
      <c r="P308" s="417">
        <f t="shared" si="130"/>
        <v>66930964.529999949</v>
      </c>
      <c r="Q308" s="417">
        <f t="shared" si="130"/>
        <v>74965281.739999965</v>
      </c>
      <c r="R308" s="417">
        <f t="shared" si="130"/>
        <v>760375098.13999999</v>
      </c>
      <c r="S308" s="417">
        <f t="shared" si="130"/>
        <v>34991.860000047833</v>
      </c>
    </row>
    <row r="309" spans="1:19" ht="19.5" customHeight="1" x14ac:dyDescent="0.2">
      <c r="A309" s="413"/>
      <c r="B309" s="400" t="s">
        <v>34</v>
      </c>
      <c r="C309" s="417">
        <f>SUM(C310:C311)</f>
        <v>704000000</v>
      </c>
      <c r="D309" s="417">
        <f>SUM(D310:D312)</f>
        <v>760410090</v>
      </c>
      <c r="E309" s="417">
        <f t="shared" ref="E309:S309" si="131">SUM(E310:E312)</f>
        <v>0</v>
      </c>
      <c r="F309" s="417">
        <f t="shared" si="131"/>
        <v>57557248.07</v>
      </c>
      <c r="G309" s="417">
        <f t="shared" si="131"/>
        <v>61013479.149999999</v>
      </c>
      <c r="H309" s="417">
        <f t="shared" si="131"/>
        <v>61111055.780000001</v>
      </c>
      <c r="I309" s="417">
        <f t="shared" si="131"/>
        <v>61237058.399999991</v>
      </c>
      <c r="J309" s="417">
        <f t="shared" si="131"/>
        <v>60434447.760000035</v>
      </c>
      <c r="K309" s="417">
        <f t="shared" si="131"/>
        <v>60558205.049999975</v>
      </c>
      <c r="L309" s="417">
        <f t="shared" si="131"/>
        <v>63518122.25999999</v>
      </c>
      <c r="M309" s="417">
        <f t="shared" si="131"/>
        <v>60777318.12000002</v>
      </c>
      <c r="N309" s="417">
        <f t="shared" si="131"/>
        <v>53030055.400000021</v>
      </c>
      <c r="O309" s="417">
        <f t="shared" si="131"/>
        <v>79241861.88000001</v>
      </c>
      <c r="P309" s="417">
        <f t="shared" si="131"/>
        <v>66930964.529999949</v>
      </c>
      <c r="Q309" s="417">
        <f t="shared" si="131"/>
        <v>74965281.739999965</v>
      </c>
      <c r="R309" s="417">
        <f t="shared" si="131"/>
        <v>760375098.13999999</v>
      </c>
      <c r="S309" s="417">
        <f t="shared" si="131"/>
        <v>34991.860000047833</v>
      </c>
    </row>
    <row r="310" spans="1:19" ht="19.5" customHeight="1" x14ac:dyDescent="0.2">
      <c r="A310" s="413"/>
      <c r="B310" s="400" t="s">
        <v>36</v>
      </c>
      <c r="C310" s="385">
        <v>4000000</v>
      </c>
      <c r="D310" s="385">
        <v>3876500</v>
      </c>
      <c r="E310" s="451"/>
      <c r="F310" s="385">
        <v>310356.14</v>
      </c>
      <c r="G310" s="385">
        <v>354599.30999999994</v>
      </c>
      <c r="H310" s="385">
        <v>298199.20000000007</v>
      </c>
      <c r="I310" s="385">
        <v>291962.32999999996</v>
      </c>
      <c r="J310" s="385">
        <v>334058.89000000013</v>
      </c>
      <c r="K310" s="385">
        <v>305623.51999999979</v>
      </c>
      <c r="L310" s="385">
        <v>294520.19000000018</v>
      </c>
      <c r="M310" s="385">
        <v>327207.14000000013</v>
      </c>
      <c r="N310" s="385">
        <v>274174.85999999987</v>
      </c>
      <c r="O310" s="385">
        <v>274000.83000000007</v>
      </c>
      <c r="P310" s="385">
        <v>317794.59999999963</v>
      </c>
      <c r="Q310" s="385">
        <v>459015.33000000007</v>
      </c>
      <c r="R310" s="385">
        <f>SUM(F310:Q310)</f>
        <v>3841512.34</v>
      </c>
      <c r="S310" s="385">
        <f>D310-R310</f>
        <v>34987.660000000149</v>
      </c>
    </row>
    <row r="311" spans="1:19" ht="19.5" customHeight="1" x14ac:dyDescent="0.2">
      <c r="A311" s="413"/>
      <c r="B311" s="400" t="s">
        <v>39</v>
      </c>
      <c r="C311" s="385">
        <v>700000000</v>
      </c>
      <c r="D311" s="385">
        <v>756533090</v>
      </c>
      <c r="E311" s="451"/>
      <c r="F311" s="385">
        <v>57246891.93</v>
      </c>
      <c r="G311" s="385">
        <v>60658879.839999996</v>
      </c>
      <c r="H311" s="385">
        <v>60812856.579999998</v>
      </c>
      <c r="I311" s="385">
        <v>60945096.069999993</v>
      </c>
      <c r="J311" s="385">
        <v>60100388.870000035</v>
      </c>
      <c r="K311" s="385">
        <v>60252581.529999971</v>
      </c>
      <c r="L311" s="385">
        <v>63223602.069999993</v>
      </c>
      <c r="M311" s="385">
        <v>60450110.980000019</v>
      </c>
      <c r="N311" s="385">
        <v>52755880.540000021</v>
      </c>
      <c r="O311" s="385">
        <v>78967361.050000012</v>
      </c>
      <c r="P311" s="385">
        <v>66613169.929999948</v>
      </c>
      <c r="Q311" s="385">
        <v>74506266.409999967</v>
      </c>
      <c r="R311" s="385">
        <f>SUM(F311:Q311)</f>
        <v>756533085.79999995</v>
      </c>
      <c r="S311" s="385">
        <f>D311-R311</f>
        <v>4.2000000476837158</v>
      </c>
    </row>
    <row r="312" spans="1:19" ht="19.5" customHeight="1" x14ac:dyDescent="0.2">
      <c r="A312" s="452"/>
      <c r="B312" s="400" t="s">
        <v>40</v>
      </c>
      <c r="C312" s="453"/>
      <c r="D312" s="453">
        <v>500</v>
      </c>
      <c r="E312" s="451"/>
      <c r="F312" s="385"/>
      <c r="G312" s="385"/>
      <c r="H312" s="385"/>
      <c r="I312" s="385"/>
      <c r="J312" s="385"/>
      <c r="K312" s="385"/>
      <c r="L312" s="385"/>
      <c r="M312" s="385"/>
      <c r="N312" s="385"/>
      <c r="O312" s="385">
        <v>500</v>
      </c>
      <c r="P312" s="385">
        <v>0</v>
      </c>
      <c r="Q312" s="385">
        <v>0</v>
      </c>
      <c r="R312" s="385">
        <f>SUM(F312:Q312)</f>
        <v>500</v>
      </c>
      <c r="S312" s="385">
        <f>D312-R312</f>
        <v>0</v>
      </c>
    </row>
    <row r="313" spans="1:19" ht="19.5" customHeight="1" x14ac:dyDescent="0.2">
      <c r="A313" s="452"/>
      <c r="B313" s="400" t="s">
        <v>43</v>
      </c>
      <c r="C313" s="453"/>
      <c r="D313" s="453"/>
      <c r="E313" s="451"/>
      <c r="F313" s="385"/>
      <c r="G313" s="385">
        <v>0</v>
      </c>
      <c r="H313" s="385">
        <v>0</v>
      </c>
      <c r="I313" s="385">
        <v>0</v>
      </c>
      <c r="J313" s="385">
        <v>0</v>
      </c>
      <c r="K313" s="385">
        <v>0</v>
      </c>
      <c r="L313" s="385">
        <v>0</v>
      </c>
      <c r="M313" s="385">
        <v>0</v>
      </c>
      <c r="N313" s="385">
        <v>0</v>
      </c>
      <c r="O313" s="385">
        <v>0</v>
      </c>
      <c r="P313" s="385">
        <v>0</v>
      </c>
      <c r="Q313" s="385">
        <v>0</v>
      </c>
      <c r="R313" s="385">
        <f>SUM(F313:Q313)</f>
        <v>0</v>
      </c>
      <c r="S313" s="385">
        <f>D313-R313</f>
        <v>0</v>
      </c>
    </row>
    <row r="314" spans="1:19" s="382" customFormat="1" ht="20.25" customHeight="1" x14ac:dyDescent="0.25">
      <c r="A314" s="452"/>
      <c r="B314" s="454" t="s">
        <v>506</v>
      </c>
      <c r="C314" s="455"/>
      <c r="D314" s="455"/>
      <c r="E314" s="456"/>
      <c r="F314" s="381"/>
      <c r="G314" s="381">
        <v>0</v>
      </c>
      <c r="H314" s="381">
        <v>0</v>
      </c>
      <c r="I314" s="381">
        <v>0</v>
      </c>
      <c r="J314" s="381">
        <v>0</v>
      </c>
      <c r="K314" s="381">
        <v>0</v>
      </c>
      <c r="L314" s="381">
        <v>0</v>
      </c>
      <c r="M314" s="381">
        <v>0</v>
      </c>
      <c r="N314" s="381">
        <v>0</v>
      </c>
      <c r="O314" s="381">
        <v>0</v>
      </c>
      <c r="P314" s="381">
        <v>0</v>
      </c>
      <c r="Q314" s="381">
        <v>0</v>
      </c>
      <c r="R314" s="385">
        <f>SUM(F314:Q314)</f>
        <v>0</v>
      </c>
      <c r="S314" s="385">
        <f>D314-R314</f>
        <v>0</v>
      </c>
    </row>
    <row r="315" spans="1:19" ht="30.75" customHeight="1" x14ac:dyDescent="0.2">
      <c r="A315" s="457" t="s">
        <v>577</v>
      </c>
      <c r="B315" s="458" t="s">
        <v>578</v>
      </c>
      <c r="C315" s="459"/>
      <c r="D315" s="459"/>
      <c r="E315" s="435"/>
      <c r="F315" s="435"/>
      <c r="G315" s="435"/>
      <c r="H315" s="435"/>
      <c r="I315" s="435"/>
      <c r="J315" s="435"/>
      <c r="K315" s="435"/>
      <c r="L315" s="435"/>
      <c r="M315" s="435"/>
      <c r="N315" s="435"/>
      <c r="O315" s="435"/>
      <c r="P315" s="435"/>
      <c r="Q315" s="435"/>
      <c r="R315" s="435"/>
      <c r="S315" s="435"/>
    </row>
    <row r="316" spans="1:19" ht="19.5" customHeight="1" x14ac:dyDescent="0.2">
      <c r="A316" s="457"/>
      <c r="B316" s="433" t="s">
        <v>503</v>
      </c>
      <c r="C316" s="459">
        <f>C317+C321</f>
        <v>60916000</v>
      </c>
      <c r="D316" s="459">
        <f t="shared" ref="D316:S316" si="132">D317+D321</f>
        <v>37365200</v>
      </c>
      <c r="E316" s="459">
        <f t="shared" si="132"/>
        <v>0</v>
      </c>
      <c r="F316" s="459">
        <f t="shared" si="132"/>
        <v>2473448.96</v>
      </c>
      <c r="G316" s="459">
        <f t="shared" si="132"/>
        <v>3150241.4699999997</v>
      </c>
      <c r="H316" s="459">
        <f t="shared" si="132"/>
        <v>3260830.36</v>
      </c>
      <c r="I316" s="459">
        <f t="shared" si="132"/>
        <v>2831152.9499999997</v>
      </c>
      <c r="J316" s="459">
        <f t="shared" si="132"/>
        <v>3339851.2699999996</v>
      </c>
      <c r="K316" s="459">
        <f t="shared" si="132"/>
        <v>3151910.6900000009</v>
      </c>
      <c r="L316" s="459">
        <f>L317+L321</f>
        <v>2688333.6799999988</v>
      </c>
      <c r="M316" s="459">
        <f t="shared" si="132"/>
        <v>3522752.3000000017</v>
      </c>
      <c r="N316" s="459">
        <f t="shared" si="132"/>
        <v>2033476.8499999985</v>
      </c>
      <c r="O316" s="459">
        <f t="shared" si="132"/>
        <v>3711181.6000000015</v>
      </c>
      <c r="P316" s="459">
        <f t="shared" si="132"/>
        <v>2809921.4799999981</v>
      </c>
      <c r="Q316" s="459">
        <f t="shared" si="132"/>
        <v>4387312.9399999995</v>
      </c>
      <c r="R316" s="459">
        <f t="shared" si="132"/>
        <v>37360414.549999997</v>
      </c>
      <c r="S316" s="459">
        <f t="shared" si="132"/>
        <v>4785.4500000011467</v>
      </c>
    </row>
    <row r="317" spans="1:19" ht="19.5" customHeight="1" x14ac:dyDescent="0.2">
      <c r="A317" s="457"/>
      <c r="B317" s="433" t="s">
        <v>34</v>
      </c>
      <c r="C317" s="459">
        <f t="shared" ref="C317:S317" si="133">SUM(C318:C320)</f>
        <v>60916000</v>
      </c>
      <c r="D317" s="459">
        <f t="shared" si="133"/>
        <v>37365200</v>
      </c>
      <c r="E317" s="459">
        <f t="shared" si="133"/>
        <v>0</v>
      </c>
      <c r="F317" s="459">
        <f t="shared" si="133"/>
        <v>2473448.96</v>
      </c>
      <c r="G317" s="459">
        <f t="shared" si="133"/>
        <v>3150241.4699999997</v>
      </c>
      <c r="H317" s="459">
        <f t="shared" si="133"/>
        <v>3260830.36</v>
      </c>
      <c r="I317" s="459">
        <f t="shared" si="133"/>
        <v>2831152.9499999997</v>
      </c>
      <c r="J317" s="459">
        <f t="shared" si="133"/>
        <v>3339851.2699999996</v>
      </c>
      <c r="K317" s="459">
        <f t="shared" si="133"/>
        <v>3151910.6900000009</v>
      </c>
      <c r="L317" s="459">
        <f t="shared" si="133"/>
        <v>2688333.6799999988</v>
      </c>
      <c r="M317" s="459">
        <f t="shared" si="133"/>
        <v>3522752.3000000017</v>
      </c>
      <c r="N317" s="459">
        <f t="shared" si="133"/>
        <v>2033476.8499999985</v>
      </c>
      <c r="O317" s="459">
        <f t="shared" si="133"/>
        <v>3711181.6000000015</v>
      </c>
      <c r="P317" s="459">
        <f t="shared" si="133"/>
        <v>2809921.4799999981</v>
      </c>
      <c r="Q317" s="459">
        <f t="shared" si="133"/>
        <v>4387312.9399999995</v>
      </c>
      <c r="R317" s="459">
        <f t="shared" si="133"/>
        <v>37360414.549999997</v>
      </c>
      <c r="S317" s="459">
        <f t="shared" si="133"/>
        <v>4785.4500000011467</v>
      </c>
    </row>
    <row r="318" spans="1:19" ht="19.5" customHeight="1" x14ac:dyDescent="0.2">
      <c r="A318" s="460"/>
      <c r="B318" s="433" t="s">
        <v>36</v>
      </c>
      <c r="C318" s="461">
        <f>C337+C342+C347</f>
        <v>820000</v>
      </c>
      <c r="D318" s="461">
        <f>D337+D342+D347</f>
        <v>601190</v>
      </c>
      <c r="E318" s="461">
        <f t="shared" ref="E318:S318" si="134">E337+E342+E347</f>
        <v>0</v>
      </c>
      <c r="F318" s="461">
        <f t="shared" si="134"/>
        <v>43482.210000000006</v>
      </c>
      <c r="G318" s="461">
        <f t="shared" si="134"/>
        <v>55529.59</v>
      </c>
      <c r="H318" s="461">
        <f t="shared" si="134"/>
        <v>40509.179999999993</v>
      </c>
      <c r="I318" s="461">
        <f t="shared" si="134"/>
        <v>60333</v>
      </c>
      <c r="J318" s="461">
        <f t="shared" si="134"/>
        <v>38008.910000000003</v>
      </c>
      <c r="K318" s="461">
        <f t="shared" si="134"/>
        <v>43349.600000000006</v>
      </c>
      <c r="L318" s="461">
        <f t="shared" si="134"/>
        <v>42951.169999999984</v>
      </c>
      <c r="M318" s="461">
        <f t="shared" si="134"/>
        <v>37097.75</v>
      </c>
      <c r="N318" s="461">
        <f t="shared" si="134"/>
        <v>38908.070000000036</v>
      </c>
      <c r="O318" s="461">
        <f t="shared" si="134"/>
        <v>95429.849999999977</v>
      </c>
      <c r="P318" s="461">
        <f t="shared" si="134"/>
        <v>41673.400000000009</v>
      </c>
      <c r="Q318" s="461">
        <f t="shared" si="134"/>
        <v>60753.76999999996</v>
      </c>
      <c r="R318" s="461">
        <f t="shared" si="134"/>
        <v>598026.5</v>
      </c>
      <c r="S318" s="461">
        <f t="shared" si="134"/>
        <v>3163.5000000000291</v>
      </c>
    </row>
    <row r="319" spans="1:19" ht="19.5" customHeight="1" x14ac:dyDescent="0.2">
      <c r="A319" s="460"/>
      <c r="B319" s="433" t="s">
        <v>39</v>
      </c>
      <c r="C319" s="461">
        <f>C325+C329+C333+C338+C343+C348</f>
        <v>60096000</v>
      </c>
      <c r="D319" s="461">
        <f>D325+D329+D333+D338+D343+D348</f>
        <v>36764010</v>
      </c>
      <c r="E319" s="461">
        <f t="shared" ref="E319:S319" si="135">E325+E329+E333+E338+E343+E348</f>
        <v>0</v>
      </c>
      <c r="F319" s="461">
        <f t="shared" si="135"/>
        <v>2429966.75</v>
      </c>
      <c r="G319" s="461">
        <f t="shared" si="135"/>
        <v>3094711.88</v>
      </c>
      <c r="H319" s="461">
        <f t="shared" si="135"/>
        <v>3220321.1799999997</v>
      </c>
      <c r="I319" s="461">
        <f t="shared" si="135"/>
        <v>2770819.9499999997</v>
      </c>
      <c r="J319" s="461">
        <f t="shared" si="135"/>
        <v>3301842.3599999994</v>
      </c>
      <c r="K319" s="461">
        <f t="shared" si="135"/>
        <v>3108561.0900000008</v>
      </c>
      <c r="L319" s="461">
        <f t="shared" si="135"/>
        <v>2645382.5099999988</v>
      </c>
      <c r="M319" s="461">
        <f>M325+M329+M333+M338+M343+M348</f>
        <v>3485654.5500000017</v>
      </c>
      <c r="N319" s="461">
        <f t="shared" si="135"/>
        <v>1994568.7799999984</v>
      </c>
      <c r="O319" s="461">
        <f t="shared" si="135"/>
        <v>3615751.7500000014</v>
      </c>
      <c r="P319" s="461">
        <f t="shared" si="135"/>
        <v>2768248.0799999982</v>
      </c>
      <c r="Q319" s="461">
        <f t="shared" si="135"/>
        <v>4326559.17</v>
      </c>
      <c r="R319" s="461">
        <f t="shared" si="135"/>
        <v>36762388.049999997</v>
      </c>
      <c r="S319" s="461">
        <f t="shared" si="135"/>
        <v>1621.9500000011176</v>
      </c>
    </row>
    <row r="320" spans="1:19" ht="19.5" customHeight="1" x14ac:dyDescent="0.2">
      <c r="A320" s="460"/>
      <c r="B320" s="433" t="s">
        <v>40</v>
      </c>
      <c r="C320" s="461">
        <f t="shared" ref="C320:S321" si="136">C349</f>
        <v>0</v>
      </c>
      <c r="D320" s="461">
        <f t="shared" si="136"/>
        <v>0</v>
      </c>
      <c r="E320" s="461">
        <f t="shared" si="136"/>
        <v>0</v>
      </c>
      <c r="F320" s="461">
        <f t="shared" si="136"/>
        <v>0</v>
      </c>
      <c r="G320" s="461">
        <f t="shared" si="136"/>
        <v>0</v>
      </c>
      <c r="H320" s="461">
        <f t="shared" si="136"/>
        <v>0</v>
      </c>
      <c r="I320" s="461">
        <f t="shared" si="136"/>
        <v>0</v>
      </c>
      <c r="J320" s="461">
        <f t="shared" si="136"/>
        <v>0</v>
      </c>
      <c r="K320" s="461">
        <f t="shared" si="136"/>
        <v>0</v>
      </c>
      <c r="L320" s="461">
        <f t="shared" si="136"/>
        <v>0</v>
      </c>
      <c r="M320" s="461">
        <f t="shared" si="136"/>
        <v>0</v>
      </c>
      <c r="N320" s="461">
        <f t="shared" si="136"/>
        <v>0</v>
      </c>
      <c r="O320" s="461">
        <f t="shared" si="136"/>
        <v>0</v>
      </c>
      <c r="P320" s="461">
        <f t="shared" si="136"/>
        <v>0</v>
      </c>
      <c r="Q320" s="461">
        <f t="shared" si="136"/>
        <v>0</v>
      </c>
      <c r="R320" s="461">
        <f t="shared" si="136"/>
        <v>0</v>
      </c>
      <c r="S320" s="461">
        <f t="shared" si="136"/>
        <v>0</v>
      </c>
    </row>
    <row r="321" spans="1:19" ht="19.5" customHeight="1" x14ac:dyDescent="0.2">
      <c r="A321" s="460"/>
      <c r="B321" s="429" t="s">
        <v>41</v>
      </c>
      <c r="C321" s="462">
        <f>C350</f>
        <v>0</v>
      </c>
      <c r="D321" s="463">
        <f>D350</f>
        <v>0</v>
      </c>
      <c r="E321" s="462">
        <f t="shared" si="136"/>
        <v>0</v>
      </c>
      <c r="F321" s="462">
        <f t="shared" si="136"/>
        <v>0</v>
      </c>
      <c r="G321" s="462">
        <f t="shared" si="136"/>
        <v>0</v>
      </c>
      <c r="H321" s="462">
        <f t="shared" si="136"/>
        <v>0</v>
      </c>
      <c r="I321" s="462">
        <f t="shared" si="136"/>
        <v>0</v>
      </c>
      <c r="J321" s="462">
        <f t="shared" si="136"/>
        <v>0</v>
      </c>
      <c r="K321" s="462">
        <f t="shared" si="136"/>
        <v>0</v>
      </c>
      <c r="L321" s="462">
        <f t="shared" si="136"/>
        <v>0</v>
      </c>
      <c r="M321" s="462">
        <f t="shared" si="136"/>
        <v>0</v>
      </c>
      <c r="N321" s="462">
        <f t="shared" si="136"/>
        <v>0</v>
      </c>
      <c r="O321" s="462">
        <f t="shared" si="136"/>
        <v>0</v>
      </c>
      <c r="P321" s="462">
        <f t="shared" si="136"/>
        <v>0</v>
      </c>
      <c r="Q321" s="462">
        <f t="shared" si="136"/>
        <v>0</v>
      </c>
      <c r="R321" s="462">
        <f t="shared" si="136"/>
        <v>0</v>
      </c>
      <c r="S321" s="462">
        <f t="shared" si="136"/>
        <v>0</v>
      </c>
    </row>
    <row r="322" spans="1:19" ht="30" customHeight="1" x14ac:dyDescent="0.2">
      <c r="A322" s="464" t="s">
        <v>579</v>
      </c>
      <c r="B322" s="386" t="s">
        <v>353</v>
      </c>
      <c r="C322" s="465"/>
      <c r="D322" s="465"/>
      <c r="E322" s="403"/>
      <c r="F322" s="403"/>
      <c r="G322" s="403"/>
      <c r="H322" s="403"/>
      <c r="I322" s="403"/>
      <c r="J322" s="403"/>
      <c r="K322" s="403"/>
      <c r="L322" s="403"/>
      <c r="M322" s="403"/>
      <c r="N322" s="403"/>
      <c r="O322" s="403"/>
      <c r="P322" s="403"/>
      <c r="Q322" s="403"/>
      <c r="R322" s="403"/>
      <c r="S322" s="403"/>
    </row>
    <row r="323" spans="1:19" ht="19.5" customHeight="1" x14ac:dyDescent="0.2">
      <c r="A323" s="413"/>
      <c r="B323" s="400" t="s">
        <v>503</v>
      </c>
      <c r="C323" s="417">
        <f>C324</f>
        <v>10500000</v>
      </c>
      <c r="D323" s="417">
        <f>D324</f>
        <v>1449600</v>
      </c>
      <c r="E323" s="417">
        <f t="shared" ref="E323:S323" si="137">E324</f>
        <v>0</v>
      </c>
      <c r="F323" s="417">
        <f t="shared" si="137"/>
        <v>544218.77</v>
      </c>
      <c r="G323" s="417">
        <f t="shared" si="137"/>
        <v>806239.97</v>
      </c>
      <c r="H323" s="417">
        <f t="shared" si="137"/>
        <v>92123.979999999981</v>
      </c>
      <c r="I323" s="417">
        <f t="shared" si="137"/>
        <v>0</v>
      </c>
      <c r="J323" s="417">
        <f t="shared" si="137"/>
        <v>2907.6500000001397</v>
      </c>
      <c r="K323" s="417">
        <f t="shared" si="137"/>
        <v>0</v>
      </c>
      <c r="L323" s="417">
        <f t="shared" si="137"/>
        <v>0</v>
      </c>
      <c r="M323" s="417">
        <f t="shared" si="137"/>
        <v>0</v>
      </c>
      <c r="N323" s="417">
        <f t="shared" si="137"/>
        <v>0</v>
      </c>
      <c r="O323" s="417">
        <f t="shared" si="137"/>
        <v>0</v>
      </c>
      <c r="P323" s="417">
        <f t="shared" si="137"/>
        <v>0</v>
      </c>
      <c r="Q323" s="417">
        <f t="shared" si="137"/>
        <v>4068</v>
      </c>
      <c r="R323" s="417">
        <f t="shared" si="137"/>
        <v>1449558.37</v>
      </c>
      <c r="S323" s="417">
        <f t="shared" si="137"/>
        <v>41.629999999888241</v>
      </c>
    </row>
    <row r="324" spans="1:19" ht="19.5" customHeight="1" x14ac:dyDescent="0.2">
      <c r="A324" s="413"/>
      <c r="B324" s="400" t="s">
        <v>34</v>
      </c>
      <c r="C324" s="417">
        <f>SUM(C325:C325)</f>
        <v>10500000</v>
      </c>
      <c r="D324" s="417">
        <f>SUM(D325:D325)</f>
        <v>1449600</v>
      </c>
      <c r="E324" s="417">
        <f t="shared" ref="E324:S324" si="138">SUM(E325:E325)</f>
        <v>0</v>
      </c>
      <c r="F324" s="417">
        <f t="shared" si="138"/>
        <v>544218.77</v>
      </c>
      <c r="G324" s="417">
        <f t="shared" si="138"/>
        <v>806239.97</v>
      </c>
      <c r="H324" s="417">
        <f t="shared" si="138"/>
        <v>92123.979999999981</v>
      </c>
      <c r="I324" s="417">
        <f t="shared" si="138"/>
        <v>0</v>
      </c>
      <c r="J324" s="417">
        <f t="shared" si="138"/>
        <v>2907.6500000001397</v>
      </c>
      <c r="K324" s="417">
        <f t="shared" si="138"/>
        <v>0</v>
      </c>
      <c r="L324" s="417">
        <f t="shared" si="138"/>
        <v>0</v>
      </c>
      <c r="M324" s="417">
        <f>SUM(M325:M325)</f>
        <v>0</v>
      </c>
      <c r="N324" s="417">
        <f t="shared" si="138"/>
        <v>0</v>
      </c>
      <c r="O324" s="417">
        <f t="shared" si="138"/>
        <v>0</v>
      </c>
      <c r="P324" s="417">
        <f t="shared" si="138"/>
        <v>0</v>
      </c>
      <c r="Q324" s="417">
        <f t="shared" si="138"/>
        <v>4068</v>
      </c>
      <c r="R324" s="417">
        <f t="shared" si="138"/>
        <v>1449558.37</v>
      </c>
      <c r="S324" s="417">
        <f t="shared" si="138"/>
        <v>41.629999999888241</v>
      </c>
    </row>
    <row r="325" spans="1:19" ht="19.5" customHeight="1" x14ac:dyDescent="0.2">
      <c r="A325" s="413"/>
      <c r="B325" s="400" t="s">
        <v>39</v>
      </c>
      <c r="C325" s="385">
        <v>10500000</v>
      </c>
      <c r="D325" s="385">
        <v>1449600</v>
      </c>
      <c r="E325" s="440"/>
      <c r="F325" s="440">
        <v>544218.77</v>
      </c>
      <c r="G325" s="440">
        <v>806239.97</v>
      </c>
      <c r="H325" s="440">
        <v>92123.979999999981</v>
      </c>
      <c r="I325" s="440">
        <v>0</v>
      </c>
      <c r="J325" s="440">
        <v>2907.6500000001397</v>
      </c>
      <c r="K325" s="440"/>
      <c r="L325" s="440">
        <v>0</v>
      </c>
      <c r="M325" s="440">
        <v>0</v>
      </c>
      <c r="N325" s="440">
        <v>0</v>
      </c>
      <c r="O325" s="440">
        <v>0</v>
      </c>
      <c r="P325" s="440">
        <v>0</v>
      </c>
      <c r="Q325" s="440">
        <v>4068</v>
      </c>
      <c r="R325" s="440">
        <f>SUM(F325:Q325)</f>
        <v>1449558.37</v>
      </c>
      <c r="S325" s="385">
        <f>D325-R325</f>
        <v>41.629999999888241</v>
      </c>
    </row>
    <row r="326" spans="1:19" ht="33" customHeight="1" x14ac:dyDescent="0.2">
      <c r="A326" s="466" t="s">
        <v>354</v>
      </c>
      <c r="B326" s="386" t="s">
        <v>355</v>
      </c>
      <c r="C326" s="419"/>
      <c r="D326" s="419"/>
      <c r="E326" s="403"/>
      <c r="F326" s="403"/>
      <c r="G326" s="403"/>
      <c r="H326" s="403"/>
      <c r="I326" s="403"/>
      <c r="J326" s="403"/>
      <c r="K326" s="403"/>
      <c r="L326" s="403"/>
      <c r="M326" s="403"/>
      <c r="N326" s="403"/>
      <c r="O326" s="403"/>
      <c r="P326" s="403"/>
      <c r="Q326" s="403"/>
      <c r="R326" s="403"/>
      <c r="S326" s="403"/>
    </row>
    <row r="327" spans="1:19" ht="19.5" customHeight="1" x14ac:dyDescent="0.2">
      <c r="A327" s="413"/>
      <c r="B327" s="400" t="s">
        <v>503</v>
      </c>
      <c r="C327" s="417">
        <f>C328</f>
        <v>12290000</v>
      </c>
      <c r="D327" s="417">
        <f>D328</f>
        <v>11203900</v>
      </c>
      <c r="E327" s="417">
        <f t="shared" ref="E327:S327" si="139">E328</f>
        <v>0</v>
      </c>
      <c r="F327" s="417">
        <f t="shared" si="139"/>
        <v>811453.74</v>
      </c>
      <c r="G327" s="417">
        <f t="shared" si="139"/>
        <v>927593.57000000007</v>
      </c>
      <c r="H327" s="417">
        <f t="shared" si="139"/>
        <v>965456.77</v>
      </c>
      <c r="I327" s="417">
        <f t="shared" si="139"/>
        <v>1015379.6600000001</v>
      </c>
      <c r="J327" s="417">
        <f t="shared" si="139"/>
        <v>1006380.8999999994</v>
      </c>
      <c r="K327" s="417">
        <f t="shared" si="139"/>
        <v>1039338.1800000006</v>
      </c>
      <c r="L327" s="417">
        <f t="shared" si="139"/>
        <v>983395.98999999929</v>
      </c>
      <c r="M327" s="417">
        <f t="shared" si="139"/>
        <v>922446.40000000037</v>
      </c>
      <c r="N327" s="417">
        <f t="shared" si="139"/>
        <v>877551.22999999952</v>
      </c>
      <c r="O327" s="417">
        <f t="shared" si="139"/>
        <v>851519.38000000082</v>
      </c>
      <c r="P327" s="417">
        <f t="shared" si="139"/>
        <v>916429.04999999888</v>
      </c>
      <c r="Q327" s="417">
        <f t="shared" si="139"/>
        <v>886878.74000000022</v>
      </c>
      <c r="R327" s="417">
        <f t="shared" si="139"/>
        <v>11203823.609999999</v>
      </c>
      <c r="S327" s="417">
        <f t="shared" si="139"/>
        <v>76.390000000596046</v>
      </c>
    </row>
    <row r="328" spans="1:19" ht="19.5" customHeight="1" x14ac:dyDescent="0.2">
      <c r="A328" s="413"/>
      <c r="B328" s="400" t="s">
        <v>34</v>
      </c>
      <c r="C328" s="417">
        <f>SUM(C329:C329)</f>
        <v>12290000</v>
      </c>
      <c r="D328" s="417">
        <f>SUM(D329:D329)</f>
        <v>11203900</v>
      </c>
      <c r="E328" s="417">
        <f t="shared" ref="E328:S328" si="140">SUM(E329:E329)</f>
        <v>0</v>
      </c>
      <c r="F328" s="417">
        <f t="shared" si="140"/>
        <v>811453.74</v>
      </c>
      <c r="G328" s="417">
        <f t="shared" si="140"/>
        <v>927593.57000000007</v>
      </c>
      <c r="H328" s="417">
        <f t="shared" si="140"/>
        <v>965456.77</v>
      </c>
      <c r="I328" s="417">
        <f t="shared" si="140"/>
        <v>1015379.6600000001</v>
      </c>
      <c r="J328" s="417">
        <f t="shared" si="140"/>
        <v>1006380.8999999994</v>
      </c>
      <c r="K328" s="417">
        <f t="shared" si="140"/>
        <v>1039338.1800000006</v>
      </c>
      <c r="L328" s="417">
        <f t="shared" si="140"/>
        <v>983395.98999999929</v>
      </c>
      <c r="M328" s="417">
        <f t="shared" si="140"/>
        <v>922446.40000000037</v>
      </c>
      <c r="N328" s="417">
        <f t="shared" si="140"/>
        <v>877551.22999999952</v>
      </c>
      <c r="O328" s="417">
        <f t="shared" si="140"/>
        <v>851519.38000000082</v>
      </c>
      <c r="P328" s="417">
        <f t="shared" si="140"/>
        <v>916429.04999999888</v>
      </c>
      <c r="Q328" s="417">
        <f t="shared" si="140"/>
        <v>886878.74000000022</v>
      </c>
      <c r="R328" s="417">
        <f t="shared" si="140"/>
        <v>11203823.609999999</v>
      </c>
      <c r="S328" s="417">
        <f t="shared" si="140"/>
        <v>76.390000000596046</v>
      </c>
    </row>
    <row r="329" spans="1:19" ht="19.5" customHeight="1" x14ac:dyDescent="0.2">
      <c r="A329" s="413"/>
      <c r="B329" s="400" t="s">
        <v>39</v>
      </c>
      <c r="C329" s="385">
        <v>12290000</v>
      </c>
      <c r="D329" s="385">
        <v>11203900</v>
      </c>
      <c r="E329" s="440"/>
      <c r="F329" s="440">
        <v>811453.74</v>
      </c>
      <c r="G329" s="440">
        <v>927593.57000000007</v>
      </c>
      <c r="H329" s="440">
        <v>965456.77</v>
      </c>
      <c r="I329" s="440">
        <v>1015379.6600000001</v>
      </c>
      <c r="J329" s="440">
        <v>1006380.8999999994</v>
      </c>
      <c r="K329" s="440">
        <v>1039338.1800000006</v>
      </c>
      <c r="L329" s="440">
        <v>983395.98999999929</v>
      </c>
      <c r="M329" s="440">
        <v>922446.40000000037</v>
      </c>
      <c r="N329" s="440">
        <v>877551.22999999952</v>
      </c>
      <c r="O329" s="440">
        <v>851519.38000000082</v>
      </c>
      <c r="P329" s="440">
        <v>916429.04999999888</v>
      </c>
      <c r="Q329" s="440">
        <v>886878.74000000022</v>
      </c>
      <c r="R329" s="440">
        <f>SUM(F329:Q329)</f>
        <v>11203823.609999999</v>
      </c>
      <c r="S329" s="385">
        <f>D329-R329</f>
        <v>76.390000000596046</v>
      </c>
    </row>
    <row r="330" spans="1:19" ht="36.75" customHeight="1" x14ac:dyDescent="0.2">
      <c r="A330" s="466" t="s">
        <v>358</v>
      </c>
      <c r="B330" s="386" t="s">
        <v>359</v>
      </c>
      <c r="C330" s="419"/>
      <c r="D330" s="419"/>
      <c r="E330" s="403"/>
      <c r="F330" s="403"/>
      <c r="G330" s="403"/>
      <c r="H330" s="403"/>
      <c r="I330" s="403"/>
      <c r="J330" s="403"/>
      <c r="K330" s="403"/>
      <c r="L330" s="403"/>
      <c r="M330" s="403"/>
      <c r="N330" s="403"/>
      <c r="O330" s="403"/>
      <c r="P330" s="403"/>
      <c r="Q330" s="403"/>
      <c r="R330" s="403"/>
      <c r="S330" s="403"/>
    </row>
    <row r="331" spans="1:19" ht="19.5" customHeight="1" x14ac:dyDescent="0.2">
      <c r="A331" s="413"/>
      <c r="B331" s="400" t="s">
        <v>503</v>
      </c>
      <c r="C331" s="417">
        <f>C332</f>
        <v>6000000</v>
      </c>
      <c r="D331" s="417">
        <f>D332</f>
        <v>5823900</v>
      </c>
      <c r="E331" s="417">
        <f t="shared" ref="E331:S331" si="141">E332</f>
        <v>0</v>
      </c>
      <c r="F331" s="417">
        <f t="shared" si="141"/>
        <v>191175.27</v>
      </c>
      <c r="G331" s="417">
        <f t="shared" si="141"/>
        <v>217864.69999999998</v>
      </c>
      <c r="H331" s="417">
        <f t="shared" si="141"/>
        <v>674323.65000000014</v>
      </c>
      <c r="I331" s="417">
        <f t="shared" si="141"/>
        <v>492732.47</v>
      </c>
      <c r="J331" s="417">
        <f t="shared" si="141"/>
        <v>490019.02</v>
      </c>
      <c r="K331" s="417">
        <f t="shared" si="141"/>
        <v>453102.72999999975</v>
      </c>
      <c r="L331" s="417">
        <f t="shared" si="141"/>
        <v>317077.68999999994</v>
      </c>
      <c r="M331" s="417">
        <f t="shared" si="141"/>
        <v>744699.09000000032</v>
      </c>
      <c r="N331" s="417">
        <f t="shared" si="141"/>
        <v>431810.90999999968</v>
      </c>
      <c r="O331" s="417">
        <f t="shared" si="141"/>
        <v>525827.26000000024</v>
      </c>
      <c r="P331" s="417">
        <f t="shared" si="141"/>
        <v>506939.33000000007</v>
      </c>
      <c r="Q331" s="417">
        <f t="shared" si="141"/>
        <v>778272.24000000022</v>
      </c>
      <c r="R331" s="417">
        <f t="shared" si="141"/>
        <v>5823844.3600000003</v>
      </c>
      <c r="S331" s="417">
        <f t="shared" si="141"/>
        <v>55.639999999664724</v>
      </c>
    </row>
    <row r="332" spans="1:19" ht="19.5" customHeight="1" x14ac:dyDescent="0.2">
      <c r="A332" s="413"/>
      <c r="B332" s="400" t="s">
        <v>34</v>
      </c>
      <c r="C332" s="417">
        <f>SUM(C333:C333)</f>
        <v>6000000</v>
      </c>
      <c r="D332" s="417">
        <f>SUM(D333:D333)</f>
        <v>5823900</v>
      </c>
      <c r="E332" s="417">
        <f t="shared" ref="E332:S332" si="142">SUM(E333:E333)</f>
        <v>0</v>
      </c>
      <c r="F332" s="417">
        <f t="shared" si="142"/>
        <v>191175.27</v>
      </c>
      <c r="G332" s="417">
        <f t="shared" si="142"/>
        <v>217864.69999999998</v>
      </c>
      <c r="H332" s="417">
        <f t="shared" si="142"/>
        <v>674323.65000000014</v>
      </c>
      <c r="I332" s="417">
        <f t="shared" si="142"/>
        <v>492732.47</v>
      </c>
      <c r="J332" s="417">
        <f t="shared" si="142"/>
        <v>490019.02</v>
      </c>
      <c r="K332" s="417">
        <f t="shared" si="142"/>
        <v>453102.72999999975</v>
      </c>
      <c r="L332" s="417">
        <f t="shared" si="142"/>
        <v>317077.68999999994</v>
      </c>
      <c r="M332" s="417">
        <f t="shared" si="142"/>
        <v>744699.09000000032</v>
      </c>
      <c r="N332" s="417">
        <f t="shared" si="142"/>
        <v>431810.90999999968</v>
      </c>
      <c r="O332" s="417">
        <f t="shared" si="142"/>
        <v>525827.26000000024</v>
      </c>
      <c r="P332" s="417">
        <f t="shared" si="142"/>
        <v>506939.33000000007</v>
      </c>
      <c r="Q332" s="417">
        <f t="shared" si="142"/>
        <v>778272.24000000022</v>
      </c>
      <c r="R332" s="417">
        <f t="shared" si="142"/>
        <v>5823844.3600000003</v>
      </c>
      <c r="S332" s="417">
        <f t="shared" si="142"/>
        <v>55.639999999664724</v>
      </c>
    </row>
    <row r="333" spans="1:19" ht="19.5" customHeight="1" x14ac:dyDescent="0.2">
      <c r="A333" s="413"/>
      <c r="B333" s="400" t="s">
        <v>39</v>
      </c>
      <c r="C333" s="385">
        <v>6000000</v>
      </c>
      <c r="D333" s="385">
        <v>5823900</v>
      </c>
      <c r="E333" s="440"/>
      <c r="F333" s="440">
        <v>191175.27</v>
      </c>
      <c r="G333" s="440">
        <v>217864.69999999998</v>
      </c>
      <c r="H333" s="440">
        <v>674323.65000000014</v>
      </c>
      <c r="I333" s="440">
        <v>492732.47</v>
      </c>
      <c r="J333" s="440">
        <v>490019.02</v>
      </c>
      <c r="K333" s="440">
        <v>453102.72999999975</v>
      </c>
      <c r="L333" s="440">
        <v>317077.68999999994</v>
      </c>
      <c r="M333" s="440">
        <v>744699.09000000032</v>
      </c>
      <c r="N333" s="440">
        <v>431810.90999999968</v>
      </c>
      <c r="O333" s="440">
        <v>525827.26000000024</v>
      </c>
      <c r="P333" s="440">
        <v>506939.33000000007</v>
      </c>
      <c r="Q333" s="440">
        <v>778272.24000000022</v>
      </c>
      <c r="R333" s="440">
        <f>SUM(F333:Q333)</f>
        <v>5823844.3600000003</v>
      </c>
      <c r="S333" s="385">
        <f>D333-R333</f>
        <v>55.639999999664724</v>
      </c>
    </row>
    <row r="334" spans="1:19" ht="33" customHeight="1" x14ac:dyDescent="0.2">
      <c r="A334" s="466" t="s">
        <v>361</v>
      </c>
      <c r="B334" s="386" t="s">
        <v>362</v>
      </c>
      <c r="C334" s="419"/>
      <c r="D334" s="419"/>
      <c r="E334" s="403"/>
      <c r="F334" s="403"/>
      <c r="G334" s="403"/>
      <c r="H334" s="403"/>
      <c r="I334" s="403"/>
      <c r="J334" s="403"/>
      <c r="K334" s="403"/>
      <c r="L334" s="403"/>
      <c r="M334" s="403"/>
      <c r="N334" s="403"/>
      <c r="O334" s="403"/>
      <c r="P334" s="403"/>
      <c r="Q334" s="403"/>
      <c r="R334" s="403"/>
      <c r="S334" s="403"/>
    </row>
    <row r="335" spans="1:19" ht="19.5" customHeight="1" x14ac:dyDescent="0.2">
      <c r="A335" s="413"/>
      <c r="B335" s="400" t="s">
        <v>503</v>
      </c>
      <c r="C335" s="417">
        <f>C336</f>
        <v>7526000</v>
      </c>
      <c r="D335" s="417">
        <f>D336</f>
        <v>5686600</v>
      </c>
      <c r="E335" s="417">
        <f t="shared" ref="E335:S335" si="143">E336</f>
        <v>0</v>
      </c>
      <c r="F335" s="417">
        <f t="shared" si="143"/>
        <v>139961.01</v>
      </c>
      <c r="G335" s="417">
        <f t="shared" si="143"/>
        <v>313375.49</v>
      </c>
      <c r="H335" s="417">
        <f t="shared" si="143"/>
        <v>381266.82999999996</v>
      </c>
      <c r="I335" s="417">
        <f t="shared" si="143"/>
        <v>423732.55999999994</v>
      </c>
      <c r="J335" s="417">
        <f t="shared" si="143"/>
        <v>436379.40000000014</v>
      </c>
      <c r="K335" s="417">
        <f t="shared" si="143"/>
        <v>541432.89000000013</v>
      </c>
      <c r="L335" s="417">
        <f t="shared" si="143"/>
        <v>398691.69999999972</v>
      </c>
      <c r="M335" s="417">
        <f t="shared" si="143"/>
        <v>685509.49000000022</v>
      </c>
      <c r="N335" s="417">
        <f t="shared" si="143"/>
        <v>375099.64999999991</v>
      </c>
      <c r="O335" s="417">
        <f t="shared" si="143"/>
        <v>678769.02</v>
      </c>
      <c r="P335" s="417">
        <f t="shared" si="143"/>
        <v>527014.08999999985</v>
      </c>
      <c r="Q335" s="417">
        <f t="shared" si="143"/>
        <v>785074.87999999989</v>
      </c>
      <c r="R335" s="417">
        <f t="shared" si="143"/>
        <v>5686307.0099999998</v>
      </c>
      <c r="S335" s="417">
        <f t="shared" si="143"/>
        <v>292.99000000022352</v>
      </c>
    </row>
    <row r="336" spans="1:19" ht="19.5" customHeight="1" x14ac:dyDescent="0.2">
      <c r="A336" s="413"/>
      <c r="B336" s="400" t="s">
        <v>34</v>
      </c>
      <c r="C336" s="417">
        <f>SUM(C337:C338)</f>
        <v>7526000</v>
      </c>
      <c r="D336" s="417">
        <f>SUM(D337:D338)</f>
        <v>5686600</v>
      </c>
      <c r="E336" s="417">
        <f t="shared" ref="E336:S336" si="144">SUM(E337:E338)</f>
        <v>0</v>
      </c>
      <c r="F336" s="417">
        <f t="shared" si="144"/>
        <v>139961.01</v>
      </c>
      <c r="G336" s="417">
        <f t="shared" si="144"/>
        <v>313375.49</v>
      </c>
      <c r="H336" s="417">
        <f t="shared" si="144"/>
        <v>381266.82999999996</v>
      </c>
      <c r="I336" s="417">
        <f t="shared" si="144"/>
        <v>423732.55999999994</v>
      </c>
      <c r="J336" s="417">
        <f t="shared" si="144"/>
        <v>436379.40000000014</v>
      </c>
      <c r="K336" s="417">
        <f t="shared" si="144"/>
        <v>541432.89000000013</v>
      </c>
      <c r="L336" s="417">
        <f t="shared" si="144"/>
        <v>398691.69999999972</v>
      </c>
      <c r="M336" s="417">
        <f t="shared" si="144"/>
        <v>685509.49000000022</v>
      </c>
      <c r="N336" s="417">
        <f t="shared" si="144"/>
        <v>375099.64999999991</v>
      </c>
      <c r="O336" s="417">
        <f t="shared" si="144"/>
        <v>678769.02</v>
      </c>
      <c r="P336" s="417">
        <f t="shared" si="144"/>
        <v>527014.08999999985</v>
      </c>
      <c r="Q336" s="417">
        <f t="shared" si="144"/>
        <v>785074.87999999989</v>
      </c>
      <c r="R336" s="417">
        <f t="shared" si="144"/>
        <v>5686307.0099999998</v>
      </c>
      <c r="S336" s="417">
        <f t="shared" si="144"/>
        <v>292.99000000022352</v>
      </c>
    </row>
    <row r="337" spans="1:19" ht="19.5" customHeight="1" x14ac:dyDescent="0.2">
      <c r="A337" s="413"/>
      <c r="B337" s="400" t="s">
        <v>36</v>
      </c>
      <c r="C337" s="385">
        <v>54000</v>
      </c>
      <c r="D337" s="385">
        <v>54000</v>
      </c>
      <c r="E337" s="385"/>
      <c r="F337" s="385">
        <v>4500</v>
      </c>
      <c r="G337" s="385">
        <v>4500</v>
      </c>
      <c r="H337" s="385">
        <v>4500</v>
      </c>
      <c r="I337" s="385">
        <v>4500</v>
      </c>
      <c r="J337" s="385">
        <v>4500</v>
      </c>
      <c r="K337" s="385">
        <v>4500</v>
      </c>
      <c r="L337" s="385">
        <v>4500</v>
      </c>
      <c r="M337" s="385">
        <v>4500</v>
      </c>
      <c r="N337" s="385">
        <v>4500</v>
      </c>
      <c r="O337" s="385">
        <v>4500</v>
      </c>
      <c r="P337" s="385">
        <v>4500</v>
      </c>
      <c r="Q337" s="385">
        <v>4500</v>
      </c>
      <c r="R337" s="385">
        <f>SUM(F337:Q337)</f>
        <v>54000</v>
      </c>
      <c r="S337" s="385">
        <f>D337-R337</f>
        <v>0</v>
      </c>
    </row>
    <row r="338" spans="1:19" ht="19.5" customHeight="1" x14ac:dyDescent="0.2">
      <c r="A338" s="413"/>
      <c r="B338" s="400" t="s">
        <v>39</v>
      </c>
      <c r="C338" s="385">
        <v>7472000</v>
      </c>
      <c r="D338" s="385">
        <v>5632600</v>
      </c>
      <c r="E338" s="440"/>
      <c r="F338" s="440">
        <v>135461.01</v>
      </c>
      <c r="G338" s="440">
        <v>308875.49</v>
      </c>
      <c r="H338" s="440">
        <v>376766.82999999996</v>
      </c>
      <c r="I338" s="440">
        <v>419232.55999999994</v>
      </c>
      <c r="J338" s="440">
        <v>431879.40000000014</v>
      </c>
      <c r="K338" s="440">
        <v>536932.89000000013</v>
      </c>
      <c r="L338" s="440">
        <v>394191.69999999972</v>
      </c>
      <c r="M338" s="440">
        <v>681009.49000000022</v>
      </c>
      <c r="N338" s="440">
        <v>370599.64999999991</v>
      </c>
      <c r="O338" s="440">
        <v>674269.02</v>
      </c>
      <c r="P338" s="440">
        <v>522514.08999999985</v>
      </c>
      <c r="Q338" s="440">
        <v>780574.87999999989</v>
      </c>
      <c r="R338" s="440">
        <f>SUM(F338:Q338)</f>
        <v>5632307.0099999998</v>
      </c>
      <c r="S338" s="385">
        <f>D338-R338</f>
        <v>292.99000000022352</v>
      </c>
    </row>
    <row r="339" spans="1:19" ht="33.75" customHeight="1" x14ac:dyDescent="0.2">
      <c r="A339" s="466" t="s">
        <v>366</v>
      </c>
      <c r="B339" s="386" t="s">
        <v>580</v>
      </c>
      <c r="C339" s="419"/>
      <c r="D339" s="419"/>
      <c r="E339" s="403"/>
      <c r="F339" s="403"/>
      <c r="G339" s="403"/>
      <c r="H339" s="403"/>
      <c r="I339" s="403"/>
      <c r="J339" s="403"/>
      <c r="K339" s="403"/>
      <c r="L339" s="403"/>
      <c r="M339" s="403"/>
      <c r="N339" s="403"/>
      <c r="O339" s="403"/>
      <c r="P339" s="403"/>
      <c r="Q339" s="403"/>
      <c r="R339" s="403"/>
      <c r="S339" s="403"/>
    </row>
    <row r="340" spans="1:19" ht="19.5" customHeight="1" x14ac:dyDescent="0.2">
      <c r="A340" s="413"/>
      <c r="B340" s="400" t="s">
        <v>503</v>
      </c>
      <c r="C340" s="417">
        <f>C341</f>
        <v>9200000</v>
      </c>
      <c r="D340" s="417">
        <f>D341</f>
        <v>8457200</v>
      </c>
      <c r="E340" s="417">
        <f t="shared" ref="E340:S340" si="145">E341</f>
        <v>0</v>
      </c>
      <c r="F340" s="417">
        <f t="shared" si="145"/>
        <v>558026.39</v>
      </c>
      <c r="G340" s="417">
        <f t="shared" si="145"/>
        <v>509814.75</v>
      </c>
      <c r="H340" s="417">
        <f t="shared" si="145"/>
        <v>724086.24</v>
      </c>
      <c r="I340" s="417">
        <f t="shared" si="145"/>
        <v>546460.6100000001</v>
      </c>
      <c r="J340" s="417">
        <f t="shared" si="145"/>
        <v>781354.15999999968</v>
      </c>
      <c r="K340" s="417">
        <f t="shared" si="145"/>
        <v>822292.19</v>
      </c>
      <c r="L340" s="417">
        <f t="shared" si="145"/>
        <v>698816.0700000003</v>
      </c>
      <c r="M340" s="417">
        <f t="shared" si="145"/>
        <v>699280.90000000037</v>
      </c>
      <c r="N340" s="417">
        <f t="shared" si="145"/>
        <v>57399.489999999292</v>
      </c>
      <c r="O340" s="417">
        <f t="shared" si="145"/>
        <v>1315996.7600000007</v>
      </c>
      <c r="P340" s="417">
        <f t="shared" si="145"/>
        <v>709114.64999999944</v>
      </c>
      <c r="Q340" s="417">
        <f t="shared" si="145"/>
        <v>1033351.7999999998</v>
      </c>
      <c r="R340" s="417">
        <f t="shared" si="145"/>
        <v>8455994.0099999998</v>
      </c>
      <c r="S340" s="417">
        <f t="shared" si="145"/>
        <v>1205.9900000003108</v>
      </c>
    </row>
    <row r="341" spans="1:19" ht="19.5" customHeight="1" x14ac:dyDescent="0.2">
      <c r="A341" s="413"/>
      <c r="B341" s="400" t="s">
        <v>34</v>
      </c>
      <c r="C341" s="417">
        <f>SUM(C342:C343)</f>
        <v>9200000</v>
      </c>
      <c r="D341" s="417">
        <f>SUM(D342:D343)</f>
        <v>8457200</v>
      </c>
      <c r="E341" s="417">
        <f t="shared" ref="E341:S341" si="146">SUM(E342:E343)</f>
        <v>0</v>
      </c>
      <c r="F341" s="417">
        <f t="shared" si="146"/>
        <v>558026.39</v>
      </c>
      <c r="G341" s="417">
        <f t="shared" si="146"/>
        <v>509814.75</v>
      </c>
      <c r="H341" s="417">
        <f t="shared" si="146"/>
        <v>724086.24</v>
      </c>
      <c r="I341" s="417">
        <f t="shared" si="146"/>
        <v>546460.6100000001</v>
      </c>
      <c r="J341" s="417">
        <f t="shared" si="146"/>
        <v>781354.15999999968</v>
      </c>
      <c r="K341" s="417">
        <f t="shared" si="146"/>
        <v>822292.19</v>
      </c>
      <c r="L341" s="417">
        <f t="shared" si="146"/>
        <v>698816.0700000003</v>
      </c>
      <c r="M341" s="417">
        <f t="shared" si="146"/>
        <v>699280.90000000037</v>
      </c>
      <c r="N341" s="417">
        <f t="shared" si="146"/>
        <v>57399.489999999292</v>
      </c>
      <c r="O341" s="417">
        <f t="shared" si="146"/>
        <v>1315996.7600000007</v>
      </c>
      <c r="P341" s="417">
        <f t="shared" si="146"/>
        <v>709114.64999999944</v>
      </c>
      <c r="Q341" s="417">
        <f t="shared" si="146"/>
        <v>1033351.7999999998</v>
      </c>
      <c r="R341" s="417">
        <f t="shared" si="146"/>
        <v>8455994.0099999998</v>
      </c>
      <c r="S341" s="417">
        <f t="shared" si="146"/>
        <v>1205.9900000003108</v>
      </c>
    </row>
    <row r="342" spans="1:19" ht="19.5" customHeight="1" x14ac:dyDescent="0.2">
      <c r="A342" s="413"/>
      <c r="B342" s="400" t="s">
        <v>36</v>
      </c>
      <c r="C342" s="385">
        <v>166000</v>
      </c>
      <c r="D342" s="385">
        <v>157000</v>
      </c>
      <c r="E342" s="440"/>
      <c r="F342" s="440">
        <v>13833.33</v>
      </c>
      <c r="G342" s="440">
        <v>13000.000000000002</v>
      </c>
      <c r="H342" s="440">
        <v>3000</v>
      </c>
      <c r="I342" s="440">
        <v>23000</v>
      </c>
      <c r="J342" s="440">
        <v>3000</v>
      </c>
      <c r="K342" s="440">
        <v>3000</v>
      </c>
      <c r="L342" s="440">
        <v>3000</v>
      </c>
      <c r="M342" s="440">
        <v>3000</v>
      </c>
      <c r="N342" s="440">
        <v>3000</v>
      </c>
      <c r="O342" s="440">
        <v>63000</v>
      </c>
      <c r="P342" s="440">
        <v>12999.999999999985</v>
      </c>
      <c r="Q342" s="440">
        <v>13000</v>
      </c>
      <c r="R342" s="440">
        <f>SUM(F342:Q342)</f>
        <v>156833.32999999999</v>
      </c>
      <c r="S342" s="385">
        <f>D342-R342</f>
        <v>166.67000000001281</v>
      </c>
    </row>
    <row r="343" spans="1:19" ht="19.5" customHeight="1" x14ac:dyDescent="0.2">
      <c r="A343" s="413"/>
      <c r="B343" s="400" t="s">
        <v>39</v>
      </c>
      <c r="C343" s="385">
        <v>9034000</v>
      </c>
      <c r="D343" s="385">
        <v>8300200</v>
      </c>
      <c r="E343" s="440"/>
      <c r="F343" s="440">
        <v>544193.06000000006</v>
      </c>
      <c r="G343" s="440">
        <v>496814.75</v>
      </c>
      <c r="H343" s="440">
        <v>721086.24</v>
      </c>
      <c r="I343" s="440">
        <v>523460.6100000001</v>
      </c>
      <c r="J343" s="440">
        <v>778354.15999999968</v>
      </c>
      <c r="K343" s="440">
        <v>819292.19</v>
      </c>
      <c r="L343" s="440">
        <v>695816.0700000003</v>
      </c>
      <c r="M343" s="440">
        <v>696280.90000000037</v>
      </c>
      <c r="N343" s="440">
        <v>54399.489999999292</v>
      </c>
      <c r="O343" s="440">
        <v>1252996.7600000007</v>
      </c>
      <c r="P343" s="440">
        <v>696114.64999999944</v>
      </c>
      <c r="Q343" s="440">
        <v>1020351.7999999998</v>
      </c>
      <c r="R343" s="440">
        <f>SUM(F343:Q343)</f>
        <v>8299160.6799999997</v>
      </c>
      <c r="S343" s="385">
        <f>D343-R343</f>
        <v>1039.320000000298</v>
      </c>
    </row>
    <row r="344" spans="1:19" ht="33.75" customHeight="1" x14ac:dyDescent="0.2">
      <c r="A344" s="467" t="s">
        <v>302</v>
      </c>
      <c r="B344" s="386" t="s">
        <v>581</v>
      </c>
      <c r="C344" s="385"/>
      <c r="D344" s="385"/>
      <c r="E344" s="468"/>
      <c r="F344" s="468"/>
      <c r="G344" s="468"/>
      <c r="H344" s="468"/>
      <c r="I344" s="468"/>
      <c r="J344" s="468"/>
      <c r="K344" s="468"/>
      <c r="L344" s="468"/>
      <c r="M344" s="468"/>
      <c r="N344" s="468"/>
      <c r="O344" s="468"/>
      <c r="P344" s="468"/>
      <c r="Q344" s="468"/>
      <c r="R344" s="468"/>
      <c r="S344" s="468"/>
    </row>
    <row r="345" spans="1:19" ht="19.5" customHeight="1" x14ac:dyDescent="0.2">
      <c r="A345" s="413"/>
      <c r="B345" s="400" t="s">
        <v>503</v>
      </c>
      <c r="C345" s="381">
        <f>C346+C350</f>
        <v>15400000</v>
      </c>
      <c r="D345" s="381">
        <f>D346+D350</f>
        <v>4744000</v>
      </c>
      <c r="E345" s="417">
        <f t="shared" ref="E345:S345" si="147">E346+E350</f>
        <v>0</v>
      </c>
      <c r="F345" s="417">
        <f t="shared" si="147"/>
        <v>228613.78</v>
      </c>
      <c r="G345" s="417">
        <f t="shared" si="147"/>
        <v>375352.99</v>
      </c>
      <c r="H345" s="417">
        <f t="shared" si="147"/>
        <v>423572.88999999996</v>
      </c>
      <c r="I345" s="417">
        <f t="shared" si="147"/>
        <v>352847.64999999991</v>
      </c>
      <c r="J345" s="417">
        <f t="shared" si="147"/>
        <v>622810.14</v>
      </c>
      <c r="K345" s="417">
        <f t="shared" si="147"/>
        <v>295744.7000000003</v>
      </c>
      <c r="L345" s="417">
        <f t="shared" si="147"/>
        <v>290352.22999999957</v>
      </c>
      <c r="M345" s="417">
        <f t="shared" si="147"/>
        <v>470816.42000000039</v>
      </c>
      <c r="N345" s="417">
        <f t="shared" si="147"/>
        <v>291615.57000000007</v>
      </c>
      <c r="O345" s="417">
        <f t="shared" si="147"/>
        <v>339069.17999999959</v>
      </c>
      <c r="P345" s="417">
        <f t="shared" si="147"/>
        <v>150424.35999999999</v>
      </c>
      <c r="Q345" s="417">
        <f t="shared" si="147"/>
        <v>899667.2799999998</v>
      </c>
      <c r="R345" s="417">
        <f t="shared" si="147"/>
        <v>4740887.1899999995</v>
      </c>
      <c r="S345" s="417">
        <f t="shared" si="147"/>
        <v>3112.8100000004633</v>
      </c>
    </row>
    <row r="346" spans="1:19" ht="19.5" customHeight="1" x14ac:dyDescent="0.2">
      <c r="A346" s="413"/>
      <c r="B346" s="400" t="s">
        <v>34</v>
      </c>
      <c r="C346" s="381">
        <f>SUM(C347:C349)</f>
        <v>15400000</v>
      </c>
      <c r="D346" s="381">
        <f>SUM(D347:D349)</f>
        <v>4744000</v>
      </c>
      <c r="E346" s="417">
        <f t="shared" ref="E346:S346" si="148">SUM(E347:E349)</f>
        <v>0</v>
      </c>
      <c r="F346" s="417">
        <f t="shared" si="148"/>
        <v>228613.78</v>
      </c>
      <c r="G346" s="417">
        <f t="shared" si="148"/>
        <v>375352.99</v>
      </c>
      <c r="H346" s="417">
        <f t="shared" si="148"/>
        <v>423572.88999999996</v>
      </c>
      <c r="I346" s="417">
        <f t="shared" si="148"/>
        <v>352847.64999999991</v>
      </c>
      <c r="J346" s="417">
        <f t="shared" si="148"/>
        <v>622810.14</v>
      </c>
      <c r="K346" s="417">
        <f t="shared" si="148"/>
        <v>295744.7000000003</v>
      </c>
      <c r="L346" s="417">
        <f t="shared" si="148"/>
        <v>290352.22999999957</v>
      </c>
      <c r="M346" s="417">
        <f t="shared" si="148"/>
        <v>470816.42000000039</v>
      </c>
      <c r="N346" s="417">
        <f t="shared" si="148"/>
        <v>291615.57000000007</v>
      </c>
      <c r="O346" s="417">
        <f t="shared" si="148"/>
        <v>339069.17999999959</v>
      </c>
      <c r="P346" s="417">
        <f t="shared" si="148"/>
        <v>150424.35999999999</v>
      </c>
      <c r="Q346" s="417">
        <f t="shared" si="148"/>
        <v>899667.2799999998</v>
      </c>
      <c r="R346" s="417">
        <f t="shared" si="148"/>
        <v>4740887.1899999995</v>
      </c>
      <c r="S346" s="417">
        <f t="shared" si="148"/>
        <v>3112.8100000004633</v>
      </c>
    </row>
    <row r="347" spans="1:19" ht="19.5" customHeight="1" x14ac:dyDescent="0.2">
      <c r="A347" s="413"/>
      <c r="B347" s="400" t="s">
        <v>36</v>
      </c>
      <c r="C347" s="385">
        <v>600000</v>
      </c>
      <c r="D347" s="385">
        <v>390190</v>
      </c>
      <c r="E347" s="440"/>
      <c r="F347" s="440">
        <v>25148.880000000001</v>
      </c>
      <c r="G347" s="440">
        <v>38029.589999999997</v>
      </c>
      <c r="H347" s="440">
        <v>33009.179999999993</v>
      </c>
      <c r="I347" s="440">
        <v>32833</v>
      </c>
      <c r="J347" s="440">
        <v>30508.910000000003</v>
      </c>
      <c r="K347" s="440">
        <v>35849.600000000006</v>
      </c>
      <c r="L347" s="440">
        <v>35451.169999999984</v>
      </c>
      <c r="M347" s="440">
        <v>29597.75</v>
      </c>
      <c r="N347" s="440">
        <v>31408.070000000036</v>
      </c>
      <c r="O347" s="440">
        <v>27929.849999999977</v>
      </c>
      <c r="P347" s="440">
        <v>24173.400000000023</v>
      </c>
      <c r="Q347" s="440">
        <v>43253.76999999996</v>
      </c>
      <c r="R347" s="440">
        <f>SUM(F347:Q347)</f>
        <v>387193.17</v>
      </c>
      <c r="S347" s="385">
        <f>D347-R347</f>
        <v>2996.8300000000163</v>
      </c>
    </row>
    <row r="348" spans="1:19" ht="19.5" customHeight="1" x14ac:dyDescent="0.2">
      <c r="A348" s="413"/>
      <c r="B348" s="400" t="s">
        <v>39</v>
      </c>
      <c r="C348" s="385">
        <v>14800000</v>
      </c>
      <c r="D348" s="385">
        <v>4353810</v>
      </c>
      <c r="E348" s="440"/>
      <c r="F348" s="440">
        <v>203464.9</v>
      </c>
      <c r="G348" s="440">
        <v>337323.4</v>
      </c>
      <c r="H348" s="440">
        <v>390563.70999999996</v>
      </c>
      <c r="I348" s="440">
        <v>320014.64999999991</v>
      </c>
      <c r="J348" s="440">
        <v>592301.23</v>
      </c>
      <c r="K348" s="440">
        <v>259895.10000000033</v>
      </c>
      <c r="L348" s="440">
        <v>254901.05999999959</v>
      </c>
      <c r="M348" s="440">
        <v>441218.67000000039</v>
      </c>
      <c r="N348" s="440">
        <v>260207.5</v>
      </c>
      <c r="O348" s="440">
        <v>311139.32999999961</v>
      </c>
      <c r="P348" s="440">
        <v>126250.95999999996</v>
      </c>
      <c r="Q348" s="440">
        <v>856413.50999999978</v>
      </c>
      <c r="R348" s="440">
        <f>SUM(F348:Q348)</f>
        <v>4353694.0199999996</v>
      </c>
      <c r="S348" s="385">
        <f>D348-R348</f>
        <v>115.98000000044703</v>
      </c>
    </row>
    <row r="349" spans="1:19" ht="19.5" customHeight="1" x14ac:dyDescent="0.2">
      <c r="A349" s="469"/>
      <c r="B349" s="400" t="s">
        <v>40</v>
      </c>
      <c r="C349" s="385"/>
      <c r="D349" s="385"/>
      <c r="E349" s="440"/>
      <c r="F349" s="440"/>
      <c r="G349" s="440">
        <v>0</v>
      </c>
      <c r="H349" s="440">
        <v>0</v>
      </c>
      <c r="I349" s="440">
        <v>0</v>
      </c>
      <c r="J349" s="440">
        <v>0</v>
      </c>
      <c r="K349" s="440">
        <v>0</v>
      </c>
      <c r="L349" s="440">
        <v>0</v>
      </c>
      <c r="M349" s="440">
        <v>0</v>
      </c>
      <c r="N349" s="440">
        <v>0</v>
      </c>
      <c r="O349" s="440">
        <v>0</v>
      </c>
      <c r="P349" s="440">
        <v>0</v>
      </c>
      <c r="Q349" s="440">
        <v>0</v>
      </c>
      <c r="R349" s="440">
        <f>SUM(F349:Q349)</f>
        <v>0</v>
      </c>
      <c r="S349" s="385">
        <f>D349-R349</f>
        <v>0</v>
      </c>
    </row>
    <row r="350" spans="1:19" ht="19.5" customHeight="1" x14ac:dyDescent="0.2">
      <c r="A350" s="469"/>
      <c r="B350" s="454" t="s">
        <v>41</v>
      </c>
      <c r="C350" s="381"/>
      <c r="D350" s="381"/>
      <c r="E350" s="470"/>
      <c r="F350" s="470"/>
      <c r="G350" s="470">
        <v>0</v>
      </c>
      <c r="H350" s="470">
        <v>0</v>
      </c>
      <c r="I350" s="470">
        <v>0</v>
      </c>
      <c r="J350" s="470">
        <v>0</v>
      </c>
      <c r="K350" s="470">
        <v>0</v>
      </c>
      <c r="L350" s="470">
        <v>0</v>
      </c>
      <c r="M350" s="470">
        <v>0</v>
      </c>
      <c r="N350" s="470">
        <v>0</v>
      </c>
      <c r="O350" s="470">
        <v>0</v>
      </c>
      <c r="P350" s="470">
        <v>0</v>
      </c>
      <c r="Q350" s="470">
        <v>0</v>
      </c>
      <c r="R350" s="470">
        <f>SUM(F350:Q350)</f>
        <v>0</v>
      </c>
      <c r="S350" s="385">
        <f>D350-R350</f>
        <v>0</v>
      </c>
    </row>
    <row r="351" spans="1:19" ht="42" customHeight="1" x14ac:dyDescent="0.2">
      <c r="A351" s="457" t="s">
        <v>582</v>
      </c>
      <c r="B351" s="458" t="s">
        <v>583</v>
      </c>
      <c r="C351" s="435"/>
      <c r="D351" s="435"/>
      <c r="E351" s="471"/>
      <c r="F351" s="471"/>
      <c r="G351" s="471"/>
      <c r="H351" s="471"/>
      <c r="I351" s="471">
        <v>0</v>
      </c>
      <c r="J351" s="471"/>
      <c r="K351" s="471"/>
      <c r="L351" s="471"/>
      <c r="M351" s="471"/>
      <c r="N351" s="471"/>
      <c r="O351" s="471"/>
      <c r="P351" s="471"/>
      <c r="Q351" s="471"/>
      <c r="R351" s="471"/>
      <c r="S351" s="471"/>
    </row>
    <row r="352" spans="1:19" ht="19.5" customHeight="1" x14ac:dyDescent="0.2">
      <c r="A352" s="457"/>
      <c r="B352" s="433" t="s">
        <v>503</v>
      </c>
      <c r="C352" s="472">
        <f t="shared" ref="C352:S352" si="149">C353+C357</f>
        <v>141825000</v>
      </c>
      <c r="D352" s="472">
        <f t="shared" si="149"/>
        <v>140694910</v>
      </c>
      <c r="E352" s="472">
        <f t="shared" si="149"/>
        <v>0</v>
      </c>
      <c r="F352" s="473">
        <f t="shared" si="149"/>
        <v>4753339.96</v>
      </c>
      <c r="G352" s="473">
        <f t="shared" si="149"/>
        <v>12650881.119999999</v>
      </c>
      <c r="H352" s="473">
        <f t="shared" si="149"/>
        <v>12522747.140000002</v>
      </c>
      <c r="I352" s="473">
        <f t="shared" si="149"/>
        <v>12816201.809999999</v>
      </c>
      <c r="J352" s="473">
        <f t="shared" si="149"/>
        <v>12213605.040000003</v>
      </c>
      <c r="K352" s="473">
        <f t="shared" si="149"/>
        <v>10136957.510000002</v>
      </c>
      <c r="L352" s="473">
        <f t="shared" si="149"/>
        <v>11682739.069999998</v>
      </c>
      <c r="M352" s="473">
        <f t="shared" si="149"/>
        <v>9027778.7400000002</v>
      </c>
      <c r="N352" s="473">
        <f t="shared" si="149"/>
        <v>11267673.940000005</v>
      </c>
      <c r="O352" s="473">
        <f t="shared" si="149"/>
        <v>11817305.779999996</v>
      </c>
      <c r="P352" s="473">
        <f t="shared" si="149"/>
        <v>10361521.159999995</v>
      </c>
      <c r="Q352" s="473">
        <f t="shared" si="149"/>
        <v>20974150.420000006</v>
      </c>
      <c r="R352" s="473">
        <f t="shared" si="149"/>
        <v>140224901.69000003</v>
      </c>
      <c r="S352" s="473">
        <f t="shared" si="149"/>
        <v>470008.30999999633</v>
      </c>
    </row>
    <row r="353" spans="1:19" ht="19.5" customHeight="1" x14ac:dyDescent="0.2">
      <c r="A353" s="457"/>
      <c r="B353" s="433" t="s">
        <v>34</v>
      </c>
      <c r="C353" s="472">
        <f t="shared" ref="C353:S353" si="150">SUM(C354:C356)</f>
        <v>141825000</v>
      </c>
      <c r="D353" s="472">
        <f t="shared" si="150"/>
        <v>140694910</v>
      </c>
      <c r="E353" s="472">
        <f t="shared" si="150"/>
        <v>0</v>
      </c>
      <c r="F353" s="473">
        <f t="shared" si="150"/>
        <v>4753339.96</v>
      </c>
      <c r="G353" s="473">
        <f t="shared" si="150"/>
        <v>12650881.119999999</v>
      </c>
      <c r="H353" s="473">
        <f t="shared" si="150"/>
        <v>12522747.140000002</v>
      </c>
      <c r="I353" s="473">
        <f t="shared" si="150"/>
        <v>12816201.809999999</v>
      </c>
      <c r="J353" s="473">
        <f t="shared" si="150"/>
        <v>12213605.040000003</v>
      </c>
      <c r="K353" s="473">
        <f t="shared" si="150"/>
        <v>10136957.510000002</v>
      </c>
      <c r="L353" s="473">
        <f t="shared" si="150"/>
        <v>11682739.069999998</v>
      </c>
      <c r="M353" s="473">
        <f t="shared" si="150"/>
        <v>9027778.7400000002</v>
      </c>
      <c r="N353" s="473">
        <f t="shared" si="150"/>
        <v>11267673.940000005</v>
      </c>
      <c r="O353" s="473">
        <f t="shared" si="150"/>
        <v>11817305.779999996</v>
      </c>
      <c r="P353" s="473">
        <f t="shared" si="150"/>
        <v>10361521.159999995</v>
      </c>
      <c r="Q353" s="473">
        <f t="shared" si="150"/>
        <v>20974150.420000006</v>
      </c>
      <c r="R353" s="473">
        <f t="shared" si="150"/>
        <v>140224901.69000003</v>
      </c>
      <c r="S353" s="473">
        <f t="shared" si="150"/>
        <v>470008.30999999633</v>
      </c>
    </row>
    <row r="354" spans="1:19" ht="19.5" customHeight="1" x14ac:dyDescent="0.2">
      <c r="A354" s="460"/>
      <c r="B354" s="433" t="s">
        <v>36</v>
      </c>
      <c r="C354" s="474">
        <f>C365+C374+C379+C386+C395+C402+C408+C412</f>
        <v>2278000</v>
      </c>
      <c r="D354" s="474">
        <f>D365+D374+D379+D386+D395+D402+D408+D412</f>
        <v>1500570</v>
      </c>
      <c r="E354" s="474">
        <f>E365+E374+E379+E386+E395+E402+E408+E412</f>
        <v>0</v>
      </c>
      <c r="F354" s="474">
        <f>F365+F374+F379+F386+F395+F402+F408+F412</f>
        <v>126764.62</v>
      </c>
      <c r="G354" s="474">
        <f t="shared" ref="G354:S354" si="151">G365+G374+G379+G386+G395+G402+G408+G412</f>
        <v>68331.649999999994</v>
      </c>
      <c r="H354" s="474">
        <f t="shared" si="151"/>
        <v>145183.07999999999</v>
      </c>
      <c r="I354" s="474">
        <f t="shared" si="151"/>
        <v>141733.70000000001</v>
      </c>
      <c r="J354" s="474">
        <f t="shared" si="151"/>
        <v>131202.55000000002</v>
      </c>
      <c r="K354" s="474">
        <f t="shared" si="151"/>
        <v>150027.63999999998</v>
      </c>
      <c r="L354" s="474">
        <f t="shared" si="151"/>
        <v>148032.58000000002</v>
      </c>
      <c r="M354" s="474">
        <f t="shared" si="151"/>
        <v>63118.489999999991</v>
      </c>
      <c r="N354" s="474">
        <f t="shared" si="151"/>
        <v>91286.920000000013</v>
      </c>
      <c r="O354" s="474">
        <f t="shared" si="151"/>
        <v>180869.61</v>
      </c>
      <c r="P354" s="474">
        <f t="shared" si="151"/>
        <v>145733.91999999995</v>
      </c>
      <c r="Q354" s="474">
        <f t="shared" si="151"/>
        <v>106429.7900000001</v>
      </c>
      <c r="R354" s="435">
        <f t="shared" si="151"/>
        <v>1498714.5499999998</v>
      </c>
      <c r="S354" s="435">
        <f t="shared" si="151"/>
        <v>1855.4499999999607</v>
      </c>
    </row>
    <row r="355" spans="1:19" ht="19.5" customHeight="1" x14ac:dyDescent="0.2">
      <c r="A355" s="460"/>
      <c r="B355" s="433" t="s">
        <v>39</v>
      </c>
      <c r="C355" s="474">
        <f>C361+C366+C370+C375+C380+C387+C391+C396+C403+C413</f>
        <v>139547000</v>
      </c>
      <c r="D355" s="474">
        <f>D361+D366+D370+D375+D380+D387+D391+D396+D403+D413</f>
        <v>138606340</v>
      </c>
      <c r="E355" s="474">
        <f>E361+E366+E370+E375+E380+E387+E391+E396+E403+E413</f>
        <v>0</v>
      </c>
      <c r="F355" s="474">
        <f>F361+F366+F370+F375+F380+F387+F391+F396+F403+F413</f>
        <v>4626575.34</v>
      </c>
      <c r="G355" s="474">
        <f t="shared" ref="G355:S355" si="152">G361+G366+G370+G375+G380+G387+G391+G396+G403+G413</f>
        <v>12582549.469999999</v>
      </c>
      <c r="H355" s="474">
        <f t="shared" si="152"/>
        <v>12377564.060000002</v>
      </c>
      <c r="I355" s="474">
        <f t="shared" si="152"/>
        <v>12674468.109999999</v>
      </c>
      <c r="J355" s="474">
        <f t="shared" si="152"/>
        <v>12082402.490000002</v>
      </c>
      <c r="K355" s="474">
        <f t="shared" si="152"/>
        <v>9986929.870000001</v>
      </c>
      <c r="L355" s="474">
        <f t="shared" si="152"/>
        <v>11534706.489999998</v>
      </c>
      <c r="M355" s="474">
        <f t="shared" si="152"/>
        <v>8964660.25</v>
      </c>
      <c r="N355" s="474">
        <f t="shared" si="152"/>
        <v>11176387.020000005</v>
      </c>
      <c r="O355" s="474">
        <f t="shared" si="152"/>
        <v>11636436.169999996</v>
      </c>
      <c r="P355" s="474">
        <f t="shared" si="152"/>
        <v>10215787.239999995</v>
      </c>
      <c r="Q355" s="474">
        <f t="shared" si="152"/>
        <v>20280320.630000006</v>
      </c>
      <c r="R355" s="435">
        <f t="shared" si="152"/>
        <v>138138787.14000002</v>
      </c>
      <c r="S355" s="435">
        <f t="shared" si="152"/>
        <v>467552.85999999638</v>
      </c>
    </row>
    <row r="356" spans="1:19" ht="19.5" customHeight="1" x14ac:dyDescent="0.2">
      <c r="A356" s="460"/>
      <c r="B356" s="433" t="s">
        <v>40</v>
      </c>
      <c r="C356" s="474">
        <f>C381+C397</f>
        <v>0</v>
      </c>
      <c r="D356" s="475">
        <f>D381+D397</f>
        <v>588000</v>
      </c>
      <c r="E356" s="474">
        <f>E381+E397</f>
        <v>0</v>
      </c>
      <c r="F356" s="474">
        <f>F381+F397</f>
        <v>0</v>
      </c>
      <c r="G356" s="474">
        <f t="shared" ref="G356:S356" si="153">G381+G397</f>
        <v>0</v>
      </c>
      <c r="H356" s="474">
        <f t="shared" si="153"/>
        <v>0</v>
      </c>
      <c r="I356" s="474">
        <f t="shared" si="153"/>
        <v>0</v>
      </c>
      <c r="J356" s="474">
        <f t="shared" si="153"/>
        <v>0</v>
      </c>
      <c r="K356" s="474">
        <f t="shared" si="153"/>
        <v>0</v>
      </c>
      <c r="L356" s="474">
        <f t="shared" si="153"/>
        <v>0</v>
      </c>
      <c r="M356" s="474">
        <f t="shared" si="153"/>
        <v>0</v>
      </c>
      <c r="N356" s="474">
        <f t="shared" si="153"/>
        <v>0</v>
      </c>
      <c r="O356" s="474">
        <f t="shared" si="153"/>
        <v>0</v>
      </c>
      <c r="P356" s="474">
        <f t="shared" si="153"/>
        <v>0</v>
      </c>
      <c r="Q356" s="474">
        <f t="shared" si="153"/>
        <v>587400</v>
      </c>
      <c r="R356" s="435">
        <f t="shared" si="153"/>
        <v>587400</v>
      </c>
      <c r="S356" s="435">
        <f t="shared" si="153"/>
        <v>600</v>
      </c>
    </row>
    <row r="357" spans="1:19" ht="19.5" customHeight="1" x14ac:dyDescent="0.2">
      <c r="A357" s="460"/>
      <c r="B357" s="433" t="s">
        <v>43</v>
      </c>
      <c r="C357" s="475">
        <f>C398+C404</f>
        <v>0</v>
      </c>
      <c r="D357" s="475">
        <f>D398+D404</f>
        <v>0</v>
      </c>
      <c r="E357" s="475">
        <f>E398+E404</f>
        <v>0</v>
      </c>
      <c r="F357" s="475">
        <f>F398+F404</f>
        <v>0</v>
      </c>
      <c r="G357" s="475">
        <f t="shared" ref="G357:S357" si="154">G398+G404</f>
        <v>0</v>
      </c>
      <c r="H357" s="475">
        <f t="shared" si="154"/>
        <v>0</v>
      </c>
      <c r="I357" s="475">
        <f t="shared" si="154"/>
        <v>0</v>
      </c>
      <c r="J357" s="475">
        <f t="shared" si="154"/>
        <v>0</v>
      </c>
      <c r="K357" s="475">
        <f t="shared" si="154"/>
        <v>0</v>
      </c>
      <c r="L357" s="475">
        <f t="shared" si="154"/>
        <v>0</v>
      </c>
      <c r="M357" s="475">
        <f t="shared" si="154"/>
        <v>0</v>
      </c>
      <c r="N357" s="475">
        <f t="shared" si="154"/>
        <v>0</v>
      </c>
      <c r="O357" s="475">
        <f t="shared" si="154"/>
        <v>0</v>
      </c>
      <c r="P357" s="475">
        <f t="shared" si="154"/>
        <v>0</v>
      </c>
      <c r="Q357" s="475">
        <f t="shared" si="154"/>
        <v>0</v>
      </c>
      <c r="R357" s="476">
        <f t="shared" si="154"/>
        <v>0</v>
      </c>
      <c r="S357" s="476">
        <f t="shared" si="154"/>
        <v>0</v>
      </c>
    </row>
    <row r="358" spans="1:19" ht="33" customHeight="1" x14ac:dyDescent="0.2">
      <c r="A358" s="466" t="s">
        <v>374</v>
      </c>
      <c r="B358" s="386" t="s">
        <v>375</v>
      </c>
      <c r="C358" s="419"/>
      <c r="D358" s="419"/>
      <c r="E358" s="403"/>
      <c r="F358" s="403"/>
      <c r="G358" s="403"/>
      <c r="H358" s="403"/>
      <c r="I358" s="403"/>
      <c r="J358" s="403"/>
      <c r="K358" s="403"/>
      <c r="L358" s="403"/>
      <c r="M358" s="403"/>
      <c r="N358" s="403"/>
      <c r="O358" s="403"/>
      <c r="P358" s="403"/>
      <c r="Q358" s="403"/>
      <c r="R358" s="403"/>
      <c r="S358" s="403"/>
    </row>
    <row r="359" spans="1:19" ht="19.5" customHeight="1" x14ac:dyDescent="0.2">
      <c r="A359" s="477"/>
      <c r="B359" s="400" t="s">
        <v>503</v>
      </c>
      <c r="C359" s="417">
        <f>C360</f>
        <v>21000000</v>
      </c>
      <c r="D359" s="417">
        <f>D360</f>
        <v>20550700</v>
      </c>
      <c r="E359" s="417">
        <f t="shared" ref="E359:S359" si="155">E360</f>
        <v>0</v>
      </c>
      <c r="F359" s="417">
        <f t="shared" si="155"/>
        <v>1354245.34</v>
      </c>
      <c r="G359" s="417">
        <f t="shared" si="155"/>
        <v>1059583.0199999998</v>
      </c>
      <c r="H359" s="417">
        <f t="shared" si="155"/>
        <v>2366335.3400000003</v>
      </c>
      <c r="I359" s="417">
        <f t="shared" si="155"/>
        <v>1425504.29</v>
      </c>
      <c r="J359" s="417">
        <f t="shared" si="155"/>
        <v>2065311</v>
      </c>
      <c r="K359" s="417">
        <f t="shared" si="155"/>
        <v>1755493.8200000003</v>
      </c>
      <c r="L359" s="417">
        <f t="shared" si="155"/>
        <v>1656113</v>
      </c>
      <c r="M359" s="417">
        <f t="shared" si="155"/>
        <v>1794171</v>
      </c>
      <c r="N359" s="417">
        <f t="shared" si="155"/>
        <v>1573524.5199999996</v>
      </c>
      <c r="O359" s="417">
        <f t="shared" si="155"/>
        <v>1920928.1399999987</v>
      </c>
      <c r="P359" s="417">
        <f t="shared" si="155"/>
        <v>1807815.0700000003</v>
      </c>
      <c r="Q359" s="417">
        <f t="shared" si="155"/>
        <v>1771225.4200000018</v>
      </c>
      <c r="R359" s="417">
        <f t="shared" si="155"/>
        <v>20550249.960000001</v>
      </c>
      <c r="S359" s="417">
        <f t="shared" si="155"/>
        <v>450.03999999910593</v>
      </c>
    </row>
    <row r="360" spans="1:19" ht="19.5" customHeight="1" x14ac:dyDescent="0.2">
      <c r="A360" s="366"/>
      <c r="B360" s="400" t="s">
        <v>34</v>
      </c>
      <c r="C360" s="417">
        <f>SUM(C361:C361)</f>
        <v>21000000</v>
      </c>
      <c r="D360" s="417">
        <f>SUM(D361:D361)</f>
        <v>20550700</v>
      </c>
      <c r="E360" s="417">
        <f t="shared" ref="E360:S360" si="156">SUM(E361:E361)</f>
        <v>0</v>
      </c>
      <c r="F360" s="417">
        <f t="shared" si="156"/>
        <v>1354245.34</v>
      </c>
      <c r="G360" s="417">
        <f t="shared" si="156"/>
        <v>1059583.0199999998</v>
      </c>
      <c r="H360" s="417">
        <f t="shared" si="156"/>
        <v>2366335.3400000003</v>
      </c>
      <c r="I360" s="417">
        <f t="shared" si="156"/>
        <v>1425504.29</v>
      </c>
      <c r="J360" s="417">
        <f t="shared" si="156"/>
        <v>2065311</v>
      </c>
      <c r="K360" s="417">
        <f t="shared" si="156"/>
        <v>1755493.8200000003</v>
      </c>
      <c r="L360" s="417">
        <f t="shared" si="156"/>
        <v>1656113</v>
      </c>
      <c r="M360" s="417">
        <f t="shared" si="156"/>
        <v>1794171</v>
      </c>
      <c r="N360" s="417">
        <f t="shared" si="156"/>
        <v>1573524.5199999996</v>
      </c>
      <c r="O360" s="417">
        <f t="shared" si="156"/>
        <v>1920928.1399999987</v>
      </c>
      <c r="P360" s="417">
        <f t="shared" si="156"/>
        <v>1807815.0700000003</v>
      </c>
      <c r="Q360" s="417">
        <f t="shared" si="156"/>
        <v>1771225.4200000018</v>
      </c>
      <c r="R360" s="417">
        <f t="shared" si="156"/>
        <v>20550249.960000001</v>
      </c>
      <c r="S360" s="417">
        <f t="shared" si="156"/>
        <v>450.03999999910593</v>
      </c>
    </row>
    <row r="361" spans="1:19" ht="19.5" customHeight="1" x14ac:dyDescent="0.2">
      <c r="A361" s="477"/>
      <c r="B361" s="400" t="s">
        <v>39</v>
      </c>
      <c r="C361" s="385">
        <v>21000000</v>
      </c>
      <c r="D361" s="385">
        <v>20550700</v>
      </c>
      <c r="E361" s="440"/>
      <c r="F361" s="440">
        <v>1354245.34</v>
      </c>
      <c r="G361" s="440">
        <v>1059583.0199999998</v>
      </c>
      <c r="H361" s="440">
        <v>2366335.3400000003</v>
      </c>
      <c r="I361" s="440">
        <v>1425504.29</v>
      </c>
      <c r="J361" s="440">
        <v>2065311</v>
      </c>
      <c r="K361" s="440">
        <v>1755493.8200000003</v>
      </c>
      <c r="L361" s="440">
        <v>1656113</v>
      </c>
      <c r="M361" s="440">
        <v>1794171</v>
      </c>
      <c r="N361" s="440">
        <v>1573524.5199999996</v>
      </c>
      <c r="O361" s="440">
        <v>1920928.1399999987</v>
      </c>
      <c r="P361" s="440">
        <v>1807815.0700000003</v>
      </c>
      <c r="Q361" s="440">
        <v>1771225.4200000018</v>
      </c>
      <c r="R361" s="440">
        <f>SUM(F361:Q361)</f>
        <v>20550249.960000001</v>
      </c>
      <c r="S361" s="385">
        <f>D361-R361</f>
        <v>450.03999999910593</v>
      </c>
    </row>
    <row r="362" spans="1:19" ht="33" customHeight="1" x14ac:dyDescent="0.2">
      <c r="A362" s="466" t="s">
        <v>584</v>
      </c>
      <c r="B362" s="386" t="s">
        <v>585</v>
      </c>
      <c r="C362" s="419"/>
      <c r="D362" s="419"/>
      <c r="E362" s="385"/>
      <c r="F362" s="385"/>
      <c r="G362" s="385"/>
      <c r="H362" s="385"/>
      <c r="I362" s="385"/>
      <c r="J362" s="385"/>
      <c r="K362" s="385"/>
      <c r="L362" s="385"/>
      <c r="M362" s="385"/>
      <c r="N362" s="385"/>
      <c r="O362" s="385"/>
      <c r="P362" s="385"/>
      <c r="Q362" s="385"/>
      <c r="R362" s="385"/>
      <c r="S362" s="385"/>
    </row>
    <row r="363" spans="1:19" ht="19.5" customHeight="1" x14ac:dyDescent="0.2">
      <c r="A363" s="366"/>
      <c r="B363" s="400" t="s">
        <v>503</v>
      </c>
      <c r="C363" s="417">
        <f>C364</f>
        <v>13000000</v>
      </c>
      <c r="D363" s="417">
        <f>D364</f>
        <v>11290410</v>
      </c>
      <c r="E363" s="417">
        <f t="shared" ref="E363:S363" si="157">E364</f>
        <v>0</v>
      </c>
      <c r="F363" s="417">
        <f t="shared" si="157"/>
        <v>303329.26</v>
      </c>
      <c r="G363" s="417">
        <f t="shared" si="157"/>
        <v>1631241.81</v>
      </c>
      <c r="H363" s="417">
        <f t="shared" si="157"/>
        <v>1144064.4200000002</v>
      </c>
      <c r="I363" s="417">
        <f t="shared" si="157"/>
        <v>3150093.76</v>
      </c>
      <c r="J363" s="417">
        <f t="shared" si="157"/>
        <v>198554.41000000015</v>
      </c>
      <c r="K363" s="417">
        <f t="shared" si="157"/>
        <v>1198090.29</v>
      </c>
      <c r="L363" s="417">
        <f t="shared" si="157"/>
        <v>424294.70000000019</v>
      </c>
      <c r="M363" s="417">
        <f t="shared" si="157"/>
        <v>402026.33999999985</v>
      </c>
      <c r="N363" s="417">
        <f t="shared" si="157"/>
        <v>2274521.84</v>
      </c>
      <c r="O363" s="417">
        <f t="shared" si="157"/>
        <v>178901.6099999994</v>
      </c>
      <c r="P363" s="417">
        <f t="shared" si="157"/>
        <v>184751</v>
      </c>
      <c r="Q363" s="417">
        <f t="shared" si="157"/>
        <v>200530.02000000142</v>
      </c>
      <c r="R363" s="417">
        <f t="shared" si="157"/>
        <v>11290399.460000001</v>
      </c>
      <c r="S363" s="417">
        <f t="shared" si="157"/>
        <v>10.53999999910593</v>
      </c>
    </row>
    <row r="364" spans="1:19" ht="19.5" customHeight="1" x14ac:dyDescent="0.2">
      <c r="A364" s="477"/>
      <c r="B364" s="400" t="s">
        <v>34</v>
      </c>
      <c r="C364" s="417">
        <f>SUM(C365:C366)</f>
        <v>13000000</v>
      </c>
      <c r="D364" s="417">
        <f>SUM(D365:D366)</f>
        <v>11290410</v>
      </c>
      <c r="E364" s="417">
        <f t="shared" ref="E364:S364" si="158">SUM(E365:E366)</f>
        <v>0</v>
      </c>
      <c r="F364" s="417">
        <f t="shared" si="158"/>
        <v>303329.26</v>
      </c>
      <c r="G364" s="417">
        <f t="shared" si="158"/>
        <v>1631241.81</v>
      </c>
      <c r="H364" s="417">
        <f t="shared" si="158"/>
        <v>1144064.4200000002</v>
      </c>
      <c r="I364" s="417">
        <f t="shared" si="158"/>
        <v>3150093.76</v>
      </c>
      <c r="J364" s="417">
        <f t="shared" si="158"/>
        <v>198554.41000000015</v>
      </c>
      <c r="K364" s="417">
        <f t="shared" si="158"/>
        <v>1198090.29</v>
      </c>
      <c r="L364" s="417">
        <f t="shared" si="158"/>
        <v>424294.70000000019</v>
      </c>
      <c r="M364" s="417">
        <f t="shared" si="158"/>
        <v>402026.33999999985</v>
      </c>
      <c r="N364" s="417">
        <f t="shared" si="158"/>
        <v>2274521.84</v>
      </c>
      <c r="O364" s="417">
        <f t="shared" si="158"/>
        <v>178901.6099999994</v>
      </c>
      <c r="P364" s="417">
        <f t="shared" si="158"/>
        <v>184751</v>
      </c>
      <c r="Q364" s="417">
        <f t="shared" si="158"/>
        <v>200530.02000000142</v>
      </c>
      <c r="R364" s="417">
        <f t="shared" si="158"/>
        <v>11290399.460000001</v>
      </c>
      <c r="S364" s="417">
        <f t="shared" si="158"/>
        <v>10.53999999910593</v>
      </c>
    </row>
    <row r="365" spans="1:19" ht="19.5" customHeight="1" x14ac:dyDescent="0.2">
      <c r="A365" s="366"/>
      <c r="B365" s="400" t="s">
        <v>36</v>
      </c>
      <c r="C365" s="385">
        <v>200000</v>
      </c>
      <c r="D365" s="385">
        <v>204000</v>
      </c>
      <c r="E365" s="440"/>
      <c r="F365" s="440">
        <v>17000</v>
      </c>
      <c r="G365" s="440">
        <v>17000</v>
      </c>
      <c r="H365" s="440">
        <v>17000</v>
      </c>
      <c r="I365" s="440">
        <v>17000</v>
      </c>
      <c r="J365" s="440">
        <v>17000</v>
      </c>
      <c r="K365" s="440">
        <v>17000</v>
      </c>
      <c r="L365" s="440">
        <v>17000</v>
      </c>
      <c r="M365" s="440">
        <v>17000</v>
      </c>
      <c r="N365" s="440">
        <v>17000</v>
      </c>
      <c r="O365" s="440">
        <v>17000</v>
      </c>
      <c r="P365" s="440">
        <v>17000</v>
      </c>
      <c r="Q365" s="440">
        <v>17000</v>
      </c>
      <c r="R365" s="440">
        <f>SUM(F365:Q365)</f>
        <v>204000</v>
      </c>
      <c r="S365" s="385">
        <f>D365-R365</f>
        <v>0</v>
      </c>
    </row>
    <row r="366" spans="1:19" ht="19.5" customHeight="1" x14ac:dyDescent="0.2">
      <c r="A366" s="477"/>
      <c r="B366" s="400" t="s">
        <v>39</v>
      </c>
      <c r="C366" s="385">
        <v>12800000</v>
      </c>
      <c r="D366" s="385">
        <v>11086410</v>
      </c>
      <c r="E366" s="440"/>
      <c r="F366" s="440">
        <v>286329.26</v>
      </c>
      <c r="G366" s="440">
        <v>1614241.81</v>
      </c>
      <c r="H366" s="440">
        <v>1127064.4200000002</v>
      </c>
      <c r="I366" s="440">
        <v>3133093.76</v>
      </c>
      <c r="J366" s="440">
        <v>181554.41000000015</v>
      </c>
      <c r="K366" s="440">
        <v>1181090.29</v>
      </c>
      <c r="L366" s="440">
        <v>407294.70000000019</v>
      </c>
      <c r="M366" s="440">
        <v>385026.33999999985</v>
      </c>
      <c r="N366" s="440">
        <v>2257521.84</v>
      </c>
      <c r="O366" s="440">
        <v>161901.6099999994</v>
      </c>
      <c r="P366" s="440">
        <v>167751</v>
      </c>
      <c r="Q366" s="440">
        <v>183530.02000000142</v>
      </c>
      <c r="R366" s="440">
        <f>SUM(F366:Q366)</f>
        <v>11086399.460000001</v>
      </c>
      <c r="S366" s="385">
        <f>D366-R366</f>
        <v>10.53999999910593</v>
      </c>
    </row>
    <row r="367" spans="1:19" ht="34.5" customHeight="1" x14ac:dyDescent="0.2">
      <c r="A367" s="466" t="s">
        <v>380</v>
      </c>
      <c r="B367" s="386" t="s">
        <v>586</v>
      </c>
      <c r="C367" s="419"/>
      <c r="D367" s="419"/>
      <c r="E367" s="403"/>
      <c r="F367" s="403"/>
      <c r="G367" s="403"/>
      <c r="H367" s="403"/>
      <c r="I367" s="403"/>
      <c r="J367" s="403"/>
      <c r="K367" s="403"/>
      <c r="L367" s="403"/>
      <c r="M367" s="403"/>
      <c r="N367" s="403"/>
      <c r="O367" s="403"/>
      <c r="P367" s="403"/>
      <c r="Q367" s="403"/>
      <c r="R367" s="403"/>
      <c r="S367" s="403"/>
    </row>
    <row r="368" spans="1:19" ht="19.5" customHeight="1" x14ac:dyDescent="0.2">
      <c r="A368" s="366"/>
      <c r="B368" s="400" t="s">
        <v>503</v>
      </c>
      <c r="C368" s="417">
        <f>C369</f>
        <v>2000000</v>
      </c>
      <c r="D368" s="417">
        <f>D369</f>
        <v>2000000</v>
      </c>
      <c r="E368" s="417">
        <f t="shared" ref="E368:S368" si="159">E369</f>
        <v>0</v>
      </c>
      <c r="F368" s="417">
        <f t="shared" si="159"/>
        <v>166666.66</v>
      </c>
      <c r="G368" s="417">
        <f t="shared" si="159"/>
        <v>166666.66</v>
      </c>
      <c r="H368" s="417">
        <f t="shared" si="159"/>
        <v>166666.65999999997</v>
      </c>
      <c r="I368" s="417">
        <f t="shared" si="159"/>
        <v>166666.66000000003</v>
      </c>
      <c r="J368" s="417">
        <f t="shared" si="159"/>
        <v>166666</v>
      </c>
      <c r="K368" s="417">
        <f t="shared" si="159"/>
        <v>166666</v>
      </c>
      <c r="L368" s="417">
        <f t="shared" si="159"/>
        <v>0</v>
      </c>
      <c r="M368" s="417">
        <f t="shared" si="159"/>
        <v>0</v>
      </c>
      <c r="N368" s="417">
        <f t="shared" si="159"/>
        <v>0</v>
      </c>
      <c r="O368" s="417">
        <f t="shared" si="159"/>
        <v>666663.99999999988</v>
      </c>
      <c r="P368" s="417">
        <f t="shared" si="159"/>
        <v>166666</v>
      </c>
      <c r="Q368" s="417">
        <f t="shared" si="159"/>
        <v>166666</v>
      </c>
      <c r="R368" s="417">
        <f t="shared" si="159"/>
        <v>1999994.64</v>
      </c>
      <c r="S368" s="417">
        <f t="shared" si="159"/>
        <v>5.3600000001024455</v>
      </c>
    </row>
    <row r="369" spans="1:19" ht="19.5" customHeight="1" x14ac:dyDescent="0.2">
      <c r="A369" s="477"/>
      <c r="B369" s="414" t="s">
        <v>34</v>
      </c>
      <c r="C369" s="417">
        <f>SUM(C370:C370)</f>
        <v>2000000</v>
      </c>
      <c r="D369" s="417">
        <f>SUM(D370:D370)</f>
        <v>2000000</v>
      </c>
      <c r="E369" s="417">
        <f t="shared" ref="E369:S369" si="160">SUM(E370:E370)</f>
        <v>0</v>
      </c>
      <c r="F369" s="417">
        <f t="shared" si="160"/>
        <v>166666.66</v>
      </c>
      <c r="G369" s="417">
        <f t="shared" si="160"/>
        <v>166666.66</v>
      </c>
      <c r="H369" s="417">
        <f t="shared" si="160"/>
        <v>166666.65999999997</v>
      </c>
      <c r="I369" s="417">
        <f t="shared" si="160"/>
        <v>166666.66000000003</v>
      </c>
      <c r="J369" s="417">
        <f t="shared" si="160"/>
        <v>166666</v>
      </c>
      <c r="K369" s="417">
        <f t="shared" si="160"/>
        <v>166666</v>
      </c>
      <c r="L369" s="417">
        <f t="shared" si="160"/>
        <v>0</v>
      </c>
      <c r="M369" s="417">
        <f t="shared" si="160"/>
        <v>0</v>
      </c>
      <c r="N369" s="417">
        <f t="shared" si="160"/>
        <v>0</v>
      </c>
      <c r="O369" s="417">
        <f t="shared" si="160"/>
        <v>666663.99999999988</v>
      </c>
      <c r="P369" s="417">
        <f t="shared" si="160"/>
        <v>166666</v>
      </c>
      <c r="Q369" s="417">
        <f t="shared" si="160"/>
        <v>166666</v>
      </c>
      <c r="R369" s="417">
        <f t="shared" si="160"/>
        <v>1999994.64</v>
      </c>
      <c r="S369" s="417">
        <f t="shared" si="160"/>
        <v>5.3600000001024455</v>
      </c>
    </row>
    <row r="370" spans="1:19" ht="19.5" customHeight="1" x14ac:dyDescent="0.2">
      <c r="A370" s="477"/>
      <c r="B370" s="400" t="s">
        <v>39</v>
      </c>
      <c r="C370" s="385">
        <v>2000000</v>
      </c>
      <c r="D370" s="385">
        <v>2000000</v>
      </c>
      <c r="E370" s="440"/>
      <c r="F370" s="440">
        <v>166666.66</v>
      </c>
      <c r="G370" s="440">
        <v>166666.66</v>
      </c>
      <c r="H370" s="440">
        <v>166666.65999999997</v>
      </c>
      <c r="I370" s="440">
        <v>166666.66000000003</v>
      </c>
      <c r="J370" s="440">
        <v>166666</v>
      </c>
      <c r="K370" s="440">
        <v>166666</v>
      </c>
      <c r="L370" s="440">
        <v>0</v>
      </c>
      <c r="M370" s="440">
        <v>0</v>
      </c>
      <c r="N370" s="440">
        <v>0</v>
      </c>
      <c r="O370" s="440">
        <v>666663.99999999988</v>
      </c>
      <c r="P370" s="440">
        <v>166666</v>
      </c>
      <c r="Q370" s="440">
        <v>166666</v>
      </c>
      <c r="R370" s="440">
        <f>SUM(F370:Q370)</f>
        <v>1999994.64</v>
      </c>
      <c r="S370" s="385">
        <f>D370-R370</f>
        <v>5.3600000001024455</v>
      </c>
    </row>
    <row r="371" spans="1:19" ht="41.25" customHeight="1" x14ac:dyDescent="0.2">
      <c r="A371" s="466" t="s">
        <v>587</v>
      </c>
      <c r="B371" s="386" t="s">
        <v>384</v>
      </c>
      <c r="C371" s="419"/>
      <c r="D371" s="419"/>
      <c r="E371" s="385"/>
      <c r="F371" s="385"/>
      <c r="G371" s="385"/>
      <c r="H371" s="385"/>
      <c r="I371" s="385"/>
      <c r="J371" s="385"/>
      <c r="K371" s="385"/>
      <c r="L371" s="385"/>
      <c r="M371" s="385"/>
      <c r="N371" s="385"/>
      <c r="O371" s="385"/>
      <c r="P371" s="385"/>
      <c r="Q371" s="385"/>
      <c r="R371" s="385"/>
      <c r="S371" s="385"/>
    </row>
    <row r="372" spans="1:19" ht="19.5" customHeight="1" x14ac:dyDescent="0.2">
      <c r="A372" s="477"/>
      <c r="B372" s="400" t="s">
        <v>503</v>
      </c>
      <c r="C372" s="417">
        <f>C373</f>
        <v>35000000</v>
      </c>
      <c r="D372" s="417">
        <f>D373</f>
        <v>33813100</v>
      </c>
      <c r="E372" s="417">
        <f t="shared" ref="E372:S372" si="161">E373</f>
        <v>0</v>
      </c>
      <c r="F372" s="417">
        <f t="shared" si="161"/>
        <v>3000</v>
      </c>
      <c r="G372" s="417">
        <f t="shared" si="161"/>
        <v>2900261.2</v>
      </c>
      <c r="H372" s="417">
        <f t="shared" si="161"/>
        <v>2615240.09</v>
      </c>
      <c r="I372" s="417">
        <f t="shared" si="161"/>
        <v>2705280</v>
      </c>
      <c r="J372" s="417">
        <f t="shared" si="161"/>
        <v>3099132.1000000006</v>
      </c>
      <c r="K372" s="417">
        <f t="shared" si="161"/>
        <v>3212725.6499999985</v>
      </c>
      <c r="L372" s="417">
        <f t="shared" si="161"/>
        <v>2984928.8500000015</v>
      </c>
      <c r="M372" s="417">
        <f t="shared" si="161"/>
        <v>3013143.5599999987</v>
      </c>
      <c r="N372" s="417">
        <f t="shared" si="161"/>
        <v>2830800.4400000013</v>
      </c>
      <c r="O372" s="417">
        <f t="shared" si="161"/>
        <v>3158988.4499999993</v>
      </c>
      <c r="P372" s="417">
        <f t="shared" si="161"/>
        <v>2811589.6499999985</v>
      </c>
      <c r="Q372" s="417">
        <f t="shared" si="161"/>
        <v>4476299.5400000028</v>
      </c>
      <c r="R372" s="417">
        <f t="shared" si="161"/>
        <v>33811389.530000001</v>
      </c>
      <c r="S372" s="417">
        <f t="shared" si="161"/>
        <v>1710.4699999988079</v>
      </c>
    </row>
    <row r="373" spans="1:19" ht="19.5" customHeight="1" x14ac:dyDescent="0.2">
      <c r="A373" s="477"/>
      <c r="B373" s="400" t="s">
        <v>34</v>
      </c>
      <c r="C373" s="417">
        <f>SUM(C374:C375)</f>
        <v>35000000</v>
      </c>
      <c r="D373" s="417">
        <f>SUM(D374:D375)</f>
        <v>33813100</v>
      </c>
      <c r="E373" s="417">
        <f t="shared" ref="E373:S373" si="162">SUM(E374:E375)</f>
        <v>0</v>
      </c>
      <c r="F373" s="417">
        <f t="shared" si="162"/>
        <v>3000</v>
      </c>
      <c r="G373" s="417">
        <f t="shared" si="162"/>
        <v>2900261.2</v>
      </c>
      <c r="H373" s="417">
        <f t="shared" si="162"/>
        <v>2615240.09</v>
      </c>
      <c r="I373" s="417">
        <f t="shared" si="162"/>
        <v>2705280</v>
      </c>
      <c r="J373" s="417">
        <f t="shared" si="162"/>
        <v>3099132.1000000006</v>
      </c>
      <c r="K373" s="417">
        <f t="shared" si="162"/>
        <v>3212725.6499999985</v>
      </c>
      <c r="L373" s="417">
        <f t="shared" si="162"/>
        <v>2984928.8500000015</v>
      </c>
      <c r="M373" s="417">
        <f t="shared" si="162"/>
        <v>3013143.5599999987</v>
      </c>
      <c r="N373" s="417">
        <f t="shared" si="162"/>
        <v>2830800.4400000013</v>
      </c>
      <c r="O373" s="417">
        <f t="shared" si="162"/>
        <v>3158988.4499999993</v>
      </c>
      <c r="P373" s="417">
        <f t="shared" si="162"/>
        <v>2811589.6499999985</v>
      </c>
      <c r="Q373" s="417">
        <f t="shared" si="162"/>
        <v>4476299.5400000028</v>
      </c>
      <c r="R373" s="417">
        <f t="shared" si="162"/>
        <v>33811389.530000001</v>
      </c>
      <c r="S373" s="417">
        <f t="shared" si="162"/>
        <v>1710.4699999988079</v>
      </c>
    </row>
    <row r="374" spans="1:19" ht="19.5" customHeight="1" x14ac:dyDescent="0.2">
      <c r="A374" s="366"/>
      <c r="B374" s="400" t="s">
        <v>36</v>
      </c>
      <c r="C374" s="385">
        <v>36000</v>
      </c>
      <c r="D374" s="385">
        <v>36000</v>
      </c>
      <c r="E374" s="440"/>
      <c r="F374" s="440">
        <v>3000</v>
      </c>
      <c r="G374" s="440">
        <v>3000</v>
      </c>
      <c r="H374" s="440">
        <v>3000</v>
      </c>
      <c r="I374" s="440">
        <v>3000</v>
      </c>
      <c r="J374" s="440">
        <v>3000</v>
      </c>
      <c r="K374" s="440">
        <v>3000</v>
      </c>
      <c r="L374" s="440">
        <v>3000</v>
      </c>
      <c r="M374" s="440">
        <v>3000</v>
      </c>
      <c r="N374" s="440">
        <v>3000</v>
      </c>
      <c r="O374" s="440">
        <v>3000</v>
      </c>
      <c r="P374" s="440">
        <v>3000</v>
      </c>
      <c r="Q374" s="440">
        <v>3000</v>
      </c>
      <c r="R374" s="440">
        <f>SUM(F374:Q374)</f>
        <v>36000</v>
      </c>
      <c r="S374" s="385">
        <f>D374-R374</f>
        <v>0</v>
      </c>
    </row>
    <row r="375" spans="1:19" ht="19.5" customHeight="1" x14ac:dyDescent="0.2">
      <c r="A375" s="477"/>
      <c r="B375" s="400" t="s">
        <v>39</v>
      </c>
      <c r="C375" s="385">
        <v>34964000</v>
      </c>
      <c r="D375" s="385">
        <v>33777100</v>
      </c>
      <c r="E375" s="440"/>
      <c r="F375" s="440"/>
      <c r="G375" s="440">
        <v>2897261.2</v>
      </c>
      <c r="H375" s="440">
        <v>2612240.09</v>
      </c>
      <c r="I375" s="440">
        <v>2702280</v>
      </c>
      <c r="J375" s="440">
        <v>3096132.1000000006</v>
      </c>
      <c r="K375" s="440">
        <v>3209725.6499999985</v>
      </c>
      <c r="L375" s="440">
        <v>2981928.8500000015</v>
      </c>
      <c r="M375" s="440">
        <v>3010143.5599999987</v>
      </c>
      <c r="N375" s="440">
        <v>2827800.4400000013</v>
      </c>
      <c r="O375" s="440">
        <v>3155988.4499999993</v>
      </c>
      <c r="P375" s="440">
        <v>2808589.6499999985</v>
      </c>
      <c r="Q375" s="440">
        <v>4473299.5400000028</v>
      </c>
      <c r="R375" s="440">
        <f>SUM(F375:Q375)</f>
        <v>33775389.530000001</v>
      </c>
      <c r="S375" s="385">
        <f>D375-R375</f>
        <v>1710.4699999988079</v>
      </c>
    </row>
    <row r="376" spans="1:19" ht="37.5" customHeight="1" x14ac:dyDescent="0.2">
      <c r="A376" s="466" t="s">
        <v>588</v>
      </c>
      <c r="B376" s="386" t="s">
        <v>392</v>
      </c>
      <c r="C376" s="419"/>
      <c r="D376" s="419"/>
      <c r="E376" s="403"/>
      <c r="F376" s="403"/>
      <c r="G376" s="403"/>
      <c r="H376" s="403"/>
      <c r="I376" s="403"/>
      <c r="J376" s="403"/>
      <c r="K376" s="403"/>
      <c r="L376" s="403"/>
      <c r="M376" s="403"/>
      <c r="N376" s="403"/>
      <c r="O376" s="403"/>
      <c r="P376" s="403"/>
      <c r="Q376" s="403"/>
      <c r="R376" s="403"/>
      <c r="S376" s="403"/>
    </row>
    <row r="377" spans="1:19" ht="19.5" customHeight="1" x14ac:dyDescent="0.2">
      <c r="A377" s="477"/>
      <c r="B377" s="400" t="s">
        <v>503</v>
      </c>
      <c r="C377" s="417">
        <f t="shared" ref="C377:S377" si="163">C378+C382</f>
        <v>2800000</v>
      </c>
      <c r="D377" s="417">
        <f t="shared" si="163"/>
        <v>2851900</v>
      </c>
      <c r="E377" s="417">
        <f t="shared" si="163"/>
        <v>0</v>
      </c>
      <c r="F377" s="417">
        <f t="shared" si="163"/>
        <v>160652.39000000001</v>
      </c>
      <c r="G377" s="417">
        <f t="shared" si="163"/>
        <v>325019.34999999998</v>
      </c>
      <c r="H377" s="417">
        <f t="shared" si="163"/>
        <v>241355.40000000002</v>
      </c>
      <c r="I377" s="417">
        <f t="shared" si="163"/>
        <v>196199.82999999996</v>
      </c>
      <c r="J377" s="417">
        <f t="shared" si="163"/>
        <v>541362.12</v>
      </c>
      <c r="K377" s="417">
        <f t="shared" si="163"/>
        <v>80389.630000000048</v>
      </c>
      <c r="L377" s="417">
        <f t="shared" si="163"/>
        <v>45415.329999999987</v>
      </c>
      <c r="M377" s="417">
        <f t="shared" si="163"/>
        <v>77004.330000000016</v>
      </c>
      <c r="N377" s="417">
        <f t="shared" si="163"/>
        <v>459567.06999999995</v>
      </c>
      <c r="O377" s="417">
        <f t="shared" si="163"/>
        <v>304460.27999999997</v>
      </c>
      <c r="P377" s="417">
        <f t="shared" si="163"/>
        <v>188839.58</v>
      </c>
      <c r="Q377" s="417">
        <f t="shared" si="163"/>
        <v>231393.12000000005</v>
      </c>
      <c r="R377" s="417">
        <f t="shared" si="163"/>
        <v>2851658.43</v>
      </c>
      <c r="S377" s="417">
        <f t="shared" si="163"/>
        <v>241.56999999994878</v>
      </c>
    </row>
    <row r="378" spans="1:19" ht="19.5" customHeight="1" x14ac:dyDescent="0.2">
      <c r="A378" s="477"/>
      <c r="B378" s="400" t="s">
        <v>34</v>
      </c>
      <c r="C378" s="417">
        <f t="shared" ref="C378:S378" si="164">SUM(C379:C381)</f>
        <v>2800000</v>
      </c>
      <c r="D378" s="417">
        <f t="shared" si="164"/>
        <v>2851900</v>
      </c>
      <c r="E378" s="417">
        <f t="shared" si="164"/>
        <v>0</v>
      </c>
      <c r="F378" s="417">
        <f t="shared" si="164"/>
        <v>160652.39000000001</v>
      </c>
      <c r="G378" s="417">
        <f t="shared" si="164"/>
        <v>325019.34999999998</v>
      </c>
      <c r="H378" s="417">
        <f t="shared" si="164"/>
        <v>241355.40000000002</v>
      </c>
      <c r="I378" s="417">
        <f t="shared" si="164"/>
        <v>196199.82999999996</v>
      </c>
      <c r="J378" s="417">
        <f t="shared" si="164"/>
        <v>541362.12</v>
      </c>
      <c r="K378" s="417">
        <f t="shared" si="164"/>
        <v>80389.630000000048</v>
      </c>
      <c r="L378" s="417">
        <f t="shared" si="164"/>
        <v>45415.329999999987</v>
      </c>
      <c r="M378" s="417">
        <f t="shared" si="164"/>
        <v>77004.330000000016</v>
      </c>
      <c r="N378" s="417">
        <f t="shared" si="164"/>
        <v>459567.06999999995</v>
      </c>
      <c r="O378" s="417">
        <f t="shared" si="164"/>
        <v>304460.27999999997</v>
      </c>
      <c r="P378" s="417">
        <f t="shared" si="164"/>
        <v>188839.58</v>
      </c>
      <c r="Q378" s="417">
        <f t="shared" si="164"/>
        <v>231393.12000000005</v>
      </c>
      <c r="R378" s="417">
        <f t="shared" si="164"/>
        <v>2851658.43</v>
      </c>
      <c r="S378" s="417">
        <f t="shared" si="164"/>
        <v>241.56999999994878</v>
      </c>
    </row>
    <row r="379" spans="1:19" ht="19.5" customHeight="1" x14ac:dyDescent="0.2">
      <c r="A379" s="477"/>
      <c r="B379" s="400" t="s">
        <v>36</v>
      </c>
      <c r="C379" s="385">
        <v>286000</v>
      </c>
      <c r="D379" s="385">
        <v>285400</v>
      </c>
      <c r="E379" s="440"/>
      <c r="F379" s="440">
        <v>23665</v>
      </c>
      <c r="G379" s="440">
        <v>23665</v>
      </c>
      <c r="H379" s="440">
        <v>23665</v>
      </c>
      <c r="I379" s="440">
        <v>23665</v>
      </c>
      <c r="J379" s="440">
        <v>23833.33</v>
      </c>
      <c r="K379" s="440">
        <v>23833.33</v>
      </c>
      <c r="L379" s="440">
        <v>23833.329999999987</v>
      </c>
      <c r="M379" s="440">
        <v>23833.330000000016</v>
      </c>
      <c r="N379" s="440">
        <v>23833.329999999987</v>
      </c>
      <c r="O379" s="440">
        <v>23833.330000000016</v>
      </c>
      <c r="P379" s="440">
        <v>23833.329999999987</v>
      </c>
      <c r="Q379" s="440">
        <v>23833.330000000016</v>
      </c>
      <c r="R379" s="440">
        <f>SUM(F379:Q379)</f>
        <v>285326.64</v>
      </c>
      <c r="S379" s="385">
        <f>D379-R379</f>
        <v>73.35999999998603</v>
      </c>
    </row>
    <row r="380" spans="1:19" ht="19.5" customHeight="1" x14ac:dyDescent="0.2">
      <c r="A380" s="477"/>
      <c r="B380" s="400" t="s">
        <v>39</v>
      </c>
      <c r="C380" s="385">
        <v>2514000</v>
      </c>
      <c r="D380" s="385">
        <v>2566500</v>
      </c>
      <c r="E380" s="440"/>
      <c r="F380" s="440">
        <v>136987.39000000001</v>
      </c>
      <c r="G380" s="440">
        <v>301354.34999999998</v>
      </c>
      <c r="H380" s="440">
        <v>217690.40000000002</v>
      </c>
      <c r="I380" s="440">
        <v>172534.82999999996</v>
      </c>
      <c r="J380" s="440">
        <v>517528.79000000004</v>
      </c>
      <c r="K380" s="440">
        <v>56556.300000000047</v>
      </c>
      <c r="L380" s="440">
        <v>21582</v>
      </c>
      <c r="M380" s="440">
        <v>53171</v>
      </c>
      <c r="N380" s="440">
        <v>435733.74</v>
      </c>
      <c r="O380" s="440">
        <v>280626.94999999995</v>
      </c>
      <c r="P380" s="440">
        <v>165006.25</v>
      </c>
      <c r="Q380" s="440">
        <v>207559.79000000004</v>
      </c>
      <c r="R380" s="440">
        <f>SUM(F380:Q380)</f>
        <v>2566331.79</v>
      </c>
      <c r="S380" s="385">
        <f>D380-R380</f>
        <v>168.20999999996275</v>
      </c>
    </row>
    <row r="381" spans="1:19" ht="19.5" customHeight="1" x14ac:dyDescent="0.2">
      <c r="A381" s="477"/>
      <c r="B381" s="400" t="s">
        <v>40</v>
      </c>
      <c r="C381" s="385"/>
      <c r="D381" s="385"/>
      <c r="E381" s="440"/>
      <c r="F381" s="440"/>
      <c r="G381" s="440">
        <v>0</v>
      </c>
      <c r="H381" s="440">
        <v>0</v>
      </c>
      <c r="I381" s="440">
        <v>0</v>
      </c>
      <c r="J381" s="440">
        <v>0</v>
      </c>
      <c r="K381" s="440">
        <v>0</v>
      </c>
      <c r="L381" s="440">
        <v>0</v>
      </c>
      <c r="M381" s="440">
        <v>0</v>
      </c>
      <c r="N381" s="440">
        <v>0</v>
      </c>
      <c r="O381" s="440">
        <v>0</v>
      </c>
      <c r="P381" s="440">
        <v>0</v>
      </c>
      <c r="Q381" s="440">
        <v>0</v>
      </c>
      <c r="R381" s="440">
        <f>SUM(F381:Q381)</f>
        <v>0</v>
      </c>
      <c r="S381" s="385">
        <f>D381-R381</f>
        <v>0</v>
      </c>
    </row>
    <row r="382" spans="1:19" ht="19.5" customHeight="1" x14ac:dyDescent="0.2">
      <c r="A382" s="477"/>
      <c r="B382" s="400" t="s">
        <v>43</v>
      </c>
      <c r="C382" s="385"/>
      <c r="D382" s="385"/>
      <c r="E382" s="440"/>
      <c r="F382" s="440"/>
      <c r="G382" s="440">
        <v>0</v>
      </c>
      <c r="H382" s="440">
        <v>0</v>
      </c>
      <c r="I382" s="440">
        <v>0</v>
      </c>
      <c r="J382" s="440">
        <v>0</v>
      </c>
      <c r="K382" s="440">
        <v>0</v>
      </c>
      <c r="L382" s="440">
        <v>0</v>
      </c>
      <c r="M382" s="440">
        <v>0</v>
      </c>
      <c r="N382" s="440">
        <v>0</v>
      </c>
      <c r="O382" s="440">
        <v>0</v>
      </c>
      <c r="P382" s="440">
        <v>0</v>
      </c>
      <c r="Q382" s="440">
        <v>0</v>
      </c>
      <c r="R382" s="440">
        <f>SUM(F382:Q382)</f>
        <v>0</v>
      </c>
      <c r="S382" s="385">
        <f>D382-R382</f>
        <v>0</v>
      </c>
    </row>
    <row r="383" spans="1:19" ht="64.5" customHeight="1" x14ac:dyDescent="0.2">
      <c r="A383" s="466" t="s">
        <v>589</v>
      </c>
      <c r="B383" s="386" t="s">
        <v>396</v>
      </c>
      <c r="C383" s="419"/>
      <c r="D383" s="419"/>
      <c r="E383" s="403"/>
      <c r="F383" s="403"/>
      <c r="G383" s="403"/>
      <c r="H383" s="403"/>
      <c r="I383" s="403"/>
      <c r="J383" s="403"/>
      <c r="K383" s="403"/>
      <c r="L383" s="403"/>
      <c r="M383" s="403"/>
      <c r="N383" s="403"/>
      <c r="O383" s="403"/>
      <c r="P383" s="403"/>
      <c r="Q383" s="403"/>
      <c r="R383" s="403"/>
      <c r="S383" s="403"/>
    </row>
    <row r="384" spans="1:19" ht="19.5" customHeight="1" x14ac:dyDescent="0.2">
      <c r="A384" s="477"/>
      <c r="B384" s="400" t="s">
        <v>503</v>
      </c>
      <c r="C384" s="417">
        <f>C385</f>
        <v>8000000</v>
      </c>
      <c r="D384" s="417">
        <f>D385</f>
        <v>8536100</v>
      </c>
      <c r="E384" s="417">
        <f t="shared" ref="E384:S384" si="165">E385</f>
        <v>0</v>
      </c>
      <c r="F384" s="417">
        <f t="shared" si="165"/>
        <v>861126.65</v>
      </c>
      <c r="G384" s="417">
        <f t="shared" si="165"/>
        <v>1561824.13</v>
      </c>
      <c r="H384" s="417">
        <f t="shared" si="165"/>
        <v>481187.95000000019</v>
      </c>
      <c r="I384" s="417">
        <f t="shared" si="165"/>
        <v>876861.87999999989</v>
      </c>
      <c r="J384" s="417">
        <f t="shared" si="165"/>
        <v>1036576.5100000002</v>
      </c>
      <c r="K384" s="417">
        <f t="shared" si="165"/>
        <v>57098.030000000261</v>
      </c>
      <c r="L384" s="417">
        <f t="shared" si="165"/>
        <v>1391953.6899999995</v>
      </c>
      <c r="M384" s="417">
        <f t="shared" si="165"/>
        <v>53323.790000000037</v>
      </c>
      <c r="N384" s="417">
        <f t="shared" si="165"/>
        <v>993534.79</v>
      </c>
      <c r="O384" s="417">
        <f t="shared" si="165"/>
        <v>614267.65000000037</v>
      </c>
      <c r="P384" s="417">
        <f t="shared" si="165"/>
        <v>188566.83000000007</v>
      </c>
      <c r="Q384" s="417">
        <f t="shared" si="165"/>
        <v>417901.59999999963</v>
      </c>
      <c r="R384" s="417">
        <f t="shared" si="165"/>
        <v>8534223.5</v>
      </c>
      <c r="S384" s="417">
        <f t="shared" si="165"/>
        <v>1876.5</v>
      </c>
    </row>
    <row r="385" spans="1:19" ht="19.5" customHeight="1" x14ac:dyDescent="0.2">
      <c r="A385" s="366"/>
      <c r="B385" s="400" t="s">
        <v>34</v>
      </c>
      <c r="C385" s="417">
        <f>SUM(C386:C387)</f>
        <v>8000000</v>
      </c>
      <c r="D385" s="417">
        <f>SUM(D386:D387)</f>
        <v>8536100</v>
      </c>
      <c r="E385" s="417">
        <f t="shared" ref="E385:S385" si="166">SUM(E386:E387)</f>
        <v>0</v>
      </c>
      <c r="F385" s="417">
        <f t="shared" si="166"/>
        <v>861126.65</v>
      </c>
      <c r="G385" s="417">
        <f t="shared" si="166"/>
        <v>1561824.13</v>
      </c>
      <c r="H385" s="417">
        <f t="shared" si="166"/>
        <v>481187.95000000019</v>
      </c>
      <c r="I385" s="417">
        <f t="shared" si="166"/>
        <v>876861.87999999989</v>
      </c>
      <c r="J385" s="417">
        <f t="shared" si="166"/>
        <v>1036576.5100000002</v>
      </c>
      <c r="K385" s="417">
        <f t="shared" si="166"/>
        <v>57098.030000000261</v>
      </c>
      <c r="L385" s="417">
        <f t="shared" si="166"/>
        <v>1391953.6899999995</v>
      </c>
      <c r="M385" s="417">
        <f t="shared" si="166"/>
        <v>53323.790000000037</v>
      </c>
      <c r="N385" s="417">
        <f t="shared" si="166"/>
        <v>993534.79</v>
      </c>
      <c r="O385" s="417">
        <f t="shared" si="166"/>
        <v>614267.65000000037</v>
      </c>
      <c r="P385" s="417">
        <f t="shared" si="166"/>
        <v>188566.83000000007</v>
      </c>
      <c r="Q385" s="417">
        <f t="shared" si="166"/>
        <v>417901.59999999963</v>
      </c>
      <c r="R385" s="417">
        <f t="shared" si="166"/>
        <v>8534223.5</v>
      </c>
      <c r="S385" s="417">
        <f t="shared" si="166"/>
        <v>1876.5</v>
      </c>
    </row>
    <row r="386" spans="1:19" ht="19.5" customHeight="1" x14ac:dyDescent="0.2">
      <c r="A386" s="477"/>
      <c r="B386" s="400" t="s">
        <v>36</v>
      </c>
      <c r="C386" s="385">
        <v>252000</v>
      </c>
      <c r="D386" s="385">
        <v>216000</v>
      </c>
      <c r="E386" s="440"/>
      <c r="F386" s="440">
        <v>18000</v>
      </c>
      <c r="G386" s="440">
        <v>18000</v>
      </c>
      <c r="H386" s="440">
        <v>18000</v>
      </c>
      <c r="I386" s="440">
        <v>18000</v>
      </c>
      <c r="J386" s="440">
        <v>18000</v>
      </c>
      <c r="K386" s="440">
        <v>18000</v>
      </c>
      <c r="L386" s="440">
        <v>18000</v>
      </c>
      <c r="M386" s="440">
        <v>18000</v>
      </c>
      <c r="N386" s="440">
        <v>18000</v>
      </c>
      <c r="O386" s="440">
        <v>18000</v>
      </c>
      <c r="P386" s="440">
        <v>18000</v>
      </c>
      <c r="Q386" s="440">
        <v>18000</v>
      </c>
      <c r="R386" s="440">
        <f>SUM(F386:Q386)</f>
        <v>216000</v>
      </c>
      <c r="S386" s="385">
        <f>D386-R386</f>
        <v>0</v>
      </c>
    </row>
    <row r="387" spans="1:19" ht="19.5" customHeight="1" x14ac:dyDescent="0.2">
      <c r="A387" s="413"/>
      <c r="B387" s="400" t="s">
        <v>39</v>
      </c>
      <c r="C387" s="385">
        <v>7748000</v>
      </c>
      <c r="D387" s="385">
        <v>8320100</v>
      </c>
      <c r="E387" s="440"/>
      <c r="F387" s="440">
        <v>843126.65</v>
      </c>
      <c r="G387" s="440">
        <v>1543824.13</v>
      </c>
      <c r="H387" s="440">
        <v>463187.95000000019</v>
      </c>
      <c r="I387" s="440">
        <v>858861.87999999989</v>
      </c>
      <c r="J387" s="440">
        <v>1018576.5100000002</v>
      </c>
      <c r="K387" s="440">
        <v>39098.030000000261</v>
      </c>
      <c r="L387" s="440">
        <v>1373953.6899999995</v>
      </c>
      <c r="M387" s="440">
        <v>35323.790000000037</v>
      </c>
      <c r="N387" s="440">
        <v>975534.79</v>
      </c>
      <c r="O387" s="440">
        <v>596267.65000000037</v>
      </c>
      <c r="P387" s="440">
        <v>170566.83000000007</v>
      </c>
      <c r="Q387" s="440">
        <v>399901.59999999963</v>
      </c>
      <c r="R387" s="440">
        <f>SUM(F387:Q387)</f>
        <v>8318223.5</v>
      </c>
      <c r="S387" s="385">
        <f>D387-R387</f>
        <v>1876.5</v>
      </c>
    </row>
    <row r="388" spans="1:19" ht="34.5" customHeight="1" x14ac:dyDescent="0.2">
      <c r="A388" s="466" t="s">
        <v>400</v>
      </c>
      <c r="B388" s="386" t="s">
        <v>489</v>
      </c>
      <c r="C388" s="419"/>
      <c r="D388" s="419"/>
      <c r="E388" s="403"/>
      <c r="F388" s="403"/>
      <c r="G388" s="403"/>
      <c r="H388" s="403"/>
      <c r="I388" s="403"/>
      <c r="J388" s="403"/>
      <c r="K388" s="403"/>
      <c r="L388" s="403"/>
      <c r="M388" s="403"/>
      <c r="N388" s="403"/>
      <c r="O388" s="403"/>
      <c r="P388" s="403"/>
      <c r="Q388" s="403"/>
      <c r="R388" s="403"/>
      <c r="S388" s="403"/>
    </row>
    <row r="389" spans="1:19" ht="19.5" customHeight="1" x14ac:dyDescent="0.2">
      <c r="A389" s="413"/>
      <c r="B389" s="400" t="s">
        <v>503</v>
      </c>
      <c r="C389" s="417">
        <f t="shared" ref="C389:R390" si="167">C390</f>
        <v>725000</v>
      </c>
      <c r="D389" s="417">
        <f t="shared" si="167"/>
        <v>651400</v>
      </c>
      <c r="E389" s="417">
        <f t="shared" si="167"/>
        <v>0</v>
      </c>
      <c r="F389" s="417">
        <f t="shared" si="167"/>
        <v>60383</v>
      </c>
      <c r="G389" s="417">
        <f t="shared" si="167"/>
        <v>60383</v>
      </c>
      <c r="H389" s="417">
        <f t="shared" si="167"/>
        <v>60383</v>
      </c>
      <c r="I389" s="417">
        <f t="shared" si="167"/>
        <v>60383</v>
      </c>
      <c r="J389" s="417">
        <f t="shared" si="167"/>
        <v>60383</v>
      </c>
      <c r="K389" s="417">
        <f t="shared" si="167"/>
        <v>60383</v>
      </c>
      <c r="L389" s="417">
        <f t="shared" si="167"/>
        <v>51225</v>
      </c>
      <c r="M389" s="417">
        <f t="shared" si="167"/>
        <v>51225</v>
      </c>
      <c r="N389" s="417">
        <f t="shared" si="167"/>
        <v>51225</v>
      </c>
      <c r="O389" s="417">
        <f t="shared" si="167"/>
        <v>51225</v>
      </c>
      <c r="P389" s="417">
        <f t="shared" si="167"/>
        <v>42067</v>
      </c>
      <c r="Q389" s="417">
        <f t="shared" si="167"/>
        <v>42067</v>
      </c>
      <c r="R389" s="417">
        <f t="shared" si="167"/>
        <v>651332</v>
      </c>
      <c r="S389" s="417">
        <f>S390</f>
        <v>68</v>
      </c>
    </row>
    <row r="390" spans="1:19" ht="19.5" customHeight="1" x14ac:dyDescent="0.2">
      <c r="A390" s="413"/>
      <c r="B390" s="400" t="s">
        <v>34</v>
      </c>
      <c r="C390" s="417">
        <f t="shared" si="167"/>
        <v>725000</v>
      </c>
      <c r="D390" s="417">
        <f t="shared" si="167"/>
        <v>651400</v>
      </c>
      <c r="E390" s="417">
        <f t="shared" si="167"/>
        <v>0</v>
      </c>
      <c r="F390" s="417">
        <f t="shared" si="167"/>
        <v>60383</v>
      </c>
      <c r="G390" s="417">
        <f t="shared" si="167"/>
        <v>60383</v>
      </c>
      <c r="H390" s="417">
        <f t="shared" si="167"/>
        <v>60383</v>
      </c>
      <c r="I390" s="417">
        <f t="shared" si="167"/>
        <v>60383</v>
      </c>
      <c r="J390" s="417">
        <f t="shared" si="167"/>
        <v>60383</v>
      </c>
      <c r="K390" s="417">
        <f t="shared" si="167"/>
        <v>60383</v>
      </c>
      <c r="L390" s="417">
        <f t="shared" si="167"/>
        <v>51225</v>
      </c>
      <c r="M390" s="417">
        <f t="shared" si="167"/>
        <v>51225</v>
      </c>
      <c r="N390" s="417">
        <f t="shared" si="167"/>
        <v>51225</v>
      </c>
      <c r="O390" s="417">
        <f t="shared" si="167"/>
        <v>51225</v>
      </c>
      <c r="P390" s="417">
        <f t="shared" si="167"/>
        <v>42067</v>
      </c>
      <c r="Q390" s="417">
        <f t="shared" si="167"/>
        <v>42067</v>
      </c>
      <c r="R390" s="417">
        <f t="shared" si="167"/>
        <v>651332</v>
      </c>
      <c r="S390" s="417">
        <f>S391</f>
        <v>68</v>
      </c>
    </row>
    <row r="391" spans="1:19" ht="19.5" customHeight="1" x14ac:dyDescent="0.2">
      <c r="A391" s="413"/>
      <c r="B391" s="400" t="s">
        <v>39</v>
      </c>
      <c r="C391" s="385">
        <v>725000</v>
      </c>
      <c r="D391" s="385">
        <v>651400</v>
      </c>
      <c r="E391" s="440"/>
      <c r="F391" s="440">
        <v>60383</v>
      </c>
      <c r="G391" s="440">
        <v>60383</v>
      </c>
      <c r="H391" s="440">
        <v>60383</v>
      </c>
      <c r="I391" s="440">
        <v>60383</v>
      </c>
      <c r="J391" s="440">
        <v>60383</v>
      </c>
      <c r="K391" s="440">
        <v>60383</v>
      </c>
      <c r="L391" s="440">
        <v>51225</v>
      </c>
      <c r="M391" s="440">
        <v>51225</v>
      </c>
      <c r="N391" s="440">
        <v>51225</v>
      </c>
      <c r="O391" s="440">
        <v>51225</v>
      </c>
      <c r="P391" s="440">
        <v>42067</v>
      </c>
      <c r="Q391" s="440">
        <v>42067</v>
      </c>
      <c r="R391" s="440">
        <f>SUM(F391:Q391)</f>
        <v>651332</v>
      </c>
      <c r="S391" s="385">
        <f>D391-R391</f>
        <v>68</v>
      </c>
    </row>
    <row r="392" spans="1:19" ht="33" customHeight="1" x14ac:dyDescent="0.2">
      <c r="A392" s="466" t="s">
        <v>402</v>
      </c>
      <c r="B392" s="386" t="s">
        <v>403</v>
      </c>
      <c r="C392" s="419"/>
      <c r="D392" s="419"/>
      <c r="E392" s="385"/>
      <c r="F392" s="385"/>
      <c r="G392" s="385"/>
      <c r="H392" s="385"/>
      <c r="I392" s="385"/>
      <c r="J392" s="385"/>
      <c r="K392" s="385"/>
      <c r="L392" s="385"/>
      <c r="M392" s="385"/>
      <c r="N392" s="385"/>
      <c r="O392" s="385"/>
      <c r="P392" s="385"/>
      <c r="Q392" s="385"/>
      <c r="R392" s="385"/>
      <c r="S392" s="385"/>
    </row>
    <row r="393" spans="1:19" ht="19.5" customHeight="1" x14ac:dyDescent="0.2">
      <c r="A393" s="413"/>
      <c r="B393" s="400" t="s">
        <v>503</v>
      </c>
      <c r="C393" s="417">
        <f>C394+C398</f>
        <v>26000000</v>
      </c>
      <c r="D393" s="417">
        <f t="shared" ref="D393:S393" si="168">D394+D398</f>
        <v>25348200</v>
      </c>
      <c r="E393" s="417">
        <f t="shared" si="168"/>
        <v>0</v>
      </c>
      <c r="F393" s="417">
        <f t="shared" si="168"/>
        <v>326540</v>
      </c>
      <c r="G393" s="417">
        <f t="shared" si="168"/>
        <v>2053243.37</v>
      </c>
      <c r="H393" s="417">
        <f t="shared" si="168"/>
        <v>3618112.1499999994</v>
      </c>
      <c r="I393" s="417">
        <f t="shared" si="168"/>
        <v>2028102.6600000001</v>
      </c>
      <c r="J393" s="417">
        <f t="shared" si="168"/>
        <v>2079632.0199999996</v>
      </c>
      <c r="K393" s="417">
        <f t="shared" si="168"/>
        <v>2036673.9400000013</v>
      </c>
      <c r="L393" s="417">
        <f t="shared" si="168"/>
        <v>2067180.209999999</v>
      </c>
      <c r="M393" s="417">
        <f t="shared" si="168"/>
        <v>2015133.2000000011</v>
      </c>
      <c r="N393" s="417">
        <f t="shared" si="168"/>
        <v>2036645.120000001</v>
      </c>
      <c r="O393" s="417">
        <f t="shared" si="168"/>
        <v>2078384.5199999996</v>
      </c>
      <c r="P393" s="417">
        <f t="shared" si="168"/>
        <v>2093217.1899999976</v>
      </c>
      <c r="Q393" s="417">
        <f t="shared" si="168"/>
        <v>2913171.3100000024</v>
      </c>
      <c r="R393" s="417">
        <f>R394+R398</f>
        <v>25346035.690000001</v>
      </c>
      <c r="S393" s="417">
        <f t="shared" si="168"/>
        <v>2164.3099999986589</v>
      </c>
    </row>
    <row r="394" spans="1:19" ht="19.5" customHeight="1" x14ac:dyDescent="0.2">
      <c r="A394" s="413"/>
      <c r="B394" s="400" t="s">
        <v>34</v>
      </c>
      <c r="C394" s="417">
        <f>SUM(C395:C397)</f>
        <v>26000000</v>
      </c>
      <c r="D394" s="417">
        <f>SUM(D395:D397)</f>
        <v>25348200</v>
      </c>
      <c r="E394" s="417">
        <f t="shared" ref="E394:S394" si="169">SUM(E395:E397)</f>
        <v>0</v>
      </c>
      <c r="F394" s="417">
        <f t="shared" si="169"/>
        <v>326540</v>
      </c>
      <c r="G394" s="417">
        <f t="shared" si="169"/>
        <v>2053243.37</v>
      </c>
      <c r="H394" s="417">
        <f t="shared" si="169"/>
        <v>3618112.1499999994</v>
      </c>
      <c r="I394" s="417">
        <f t="shared" si="169"/>
        <v>2028102.6600000001</v>
      </c>
      <c r="J394" s="417">
        <f t="shared" si="169"/>
        <v>2079632.0199999996</v>
      </c>
      <c r="K394" s="417">
        <f t="shared" si="169"/>
        <v>2036673.9400000013</v>
      </c>
      <c r="L394" s="417">
        <f t="shared" si="169"/>
        <v>2067180.209999999</v>
      </c>
      <c r="M394" s="417">
        <f t="shared" si="169"/>
        <v>2015133.2000000011</v>
      </c>
      <c r="N394" s="417">
        <f t="shared" si="169"/>
        <v>2036645.120000001</v>
      </c>
      <c r="O394" s="417">
        <f t="shared" si="169"/>
        <v>2078384.5199999996</v>
      </c>
      <c r="P394" s="417">
        <f t="shared" si="169"/>
        <v>2093217.1899999976</v>
      </c>
      <c r="Q394" s="417">
        <f t="shared" si="169"/>
        <v>2913171.3100000024</v>
      </c>
      <c r="R394" s="417">
        <f t="shared" si="169"/>
        <v>25346035.690000001</v>
      </c>
      <c r="S394" s="417">
        <f t="shared" si="169"/>
        <v>2164.3099999986589</v>
      </c>
    </row>
    <row r="395" spans="1:19" ht="19.5" customHeight="1" x14ac:dyDescent="0.2">
      <c r="A395" s="413"/>
      <c r="B395" s="400" t="s">
        <v>36</v>
      </c>
      <c r="C395" s="420">
        <v>34000</v>
      </c>
      <c r="D395" s="420">
        <v>4170</v>
      </c>
      <c r="E395" s="420"/>
      <c r="F395" s="420"/>
      <c r="G395" s="420">
        <v>0</v>
      </c>
      <c r="H395" s="420">
        <v>0</v>
      </c>
      <c r="I395" s="420">
        <v>0</v>
      </c>
      <c r="J395" s="420">
        <v>0</v>
      </c>
      <c r="K395" s="420">
        <v>0</v>
      </c>
      <c r="L395" s="420">
        <v>0</v>
      </c>
      <c r="M395" s="420">
        <v>0</v>
      </c>
      <c r="N395" s="420">
        <v>0</v>
      </c>
      <c r="O395" s="420">
        <v>1000</v>
      </c>
      <c r="P395" s="420">
        <v>1612</v>
      </c>
      <c r="Q395" s="420">
        <v>0</v>
      </c>
      <c r="R395" s="420">
        <f>SUM(F395:Q395)</f>
        <v>2612</v>
      </c>
      <c r="S395" s="385">
        <f>D395-R395</f>
        <v>1558</v>
      </c>
    </row>
    <row r="396" spans="1:19" ht="19.5" customHeight="1" x14ac:dyDescent="0.2">
      <c r="A396" s="413"/>
      <c r="B396" s="400" t="s">
        <v>39</v>
      </c>
      <c r="C396" s="385">
        <v>25966000</v>
      </c>
      <c r="D396" s="385">
        <v>24756030</v>
      </c>
      <c r="E396" s="440"/>
      <c r="F396" s="440">
        <v>326540</v>
      </c>
      <c r="G396" s="440">
        <v>2053243.37</v>
      </c>
      <c r="H396" s="440">
        <v>3618112.1499999994</v>
      </c>
      <c r="I396" s="440">
        <v>2028102.6600000001</v>
      </c>
      <c r="J396" s="440">
        <v>2079632.0199999996</v>
      </c>
      <c r="K396" s="440">
        <v>2036673.9400000013</v>
      </c>
      <c r="L396" s="440">
        <v>2067180.209999999</v>
      </c>
      <c r="M396" s="440">
        <v>2015133.2000000011</v>
      </c>
      <c r="N396" s="440">
        <v>2036645.120000001</v>
      </c>
      <c r="O396" s="440">
        <v>2077384.5199999996</v>
      </c>
      <c r="P396" s="440">
        <v>2091605.1899999976</v>
      </c>
      <c r="Q396" s="440">
        <v>2325771.3100000024</v>
      </c>
      <c r="R396" s="440">
        <f>SUM(F396:Q396)</f>
        <v>24756023.690000001</v>
      </c>
      <c r="S396" s="385">
        <f>D396-R396</f>
        <v>6.3099999986588955</v>
      </c>
    </row>
    <row r="397" spans="1:19" ht="19.5" customHeight="1" x14ac:dyDescent="0.2">
      <c r="A397" s="413"/>
      <c r="B397" s="400" t="s">
        <v>40</v>
      </c>
      <c r="C397" s="385"/>
      <c r="D397" s="385">
        <v>588000</v>
      </c>
      <c r="E397" s="440"/>
      <c r="F397" s="440"/>
      <c r="G397" s="440">
        <v>0</v>
      </c>
      <c r="H397" s="440">
        <v>0</v>
      </c>
      <c r="I397" s="440">
        <v>0</v>
      </c>
      <c r="J397" s="440">
        <v>0</v>
      </c>
      <c r="K397" s="440">
        <v>0</v>
      </c>
      <c r="L397" s="440">
        <v>0</v>
      </c>
      <c r="M397" s="440">
        <v>0</v>
      </c>
      <c r="N397" s="440">
        <v>0</v>
      </c>
      <c r="O397" s="440">
        <v>0</v>
      </c>
      <c r="P397" s="440">
        <v>0</v>
      </c>
      <c r="Q397" s="440">
        <v>587400</v>
      </c>
      <c r="R397" s="440">
        <f>SUM(F397:Q397)</f>
        <v>587400</v>
      </c>
      <c r="S397" s="385">
        <f>D397-R397</f>
        <v>600</v>
      </c>
    </row>
    <row r="398" spans="1:19" ht="19.5" customHeight="1" x14ac:dyDescent="0.2">
      <c r="A398" s="413"/>
      <c r="B398" s="386" t="s">
        <v>249</v>
      </c>
      <c r="C398" s="385"/>
      <c r="D398" s="381"/>
      <c r="E398" s="440"/>
      <c r="F398" s="440"/>
      <c r="G398" s="440">
        <v>0</v>
      </c>
      <c r="H398" s="440">
        <v>0</v>
      </c>
      <c r="I398" s="440">
        <v>0</v>
      </c>
      <c r="J398" s="440">
        <v>0</v>
      </c>
      <c r="K398" s="440">
        <v>0</v>
      </c>
      <c r="L398" s="440">
        <v>0</v>
      </c>
      <c r="M398" s="440">
        <v>0</v>
      </c>
      <c r="N398" s="440">
        <v>0</v>
      </c>
      <c r="O398" s="440">
        <v>0</v>
      </c>
      <c r="P398" s="440">
        <v>0</v>
      </c>
      <c r="Q398" s="440">
        <v>0</v>
      </c>
      <c r="R398" s="440">
        <f>SUM(F398:Q398)</f>
        <v>0</v>
      </c>
      <c r="S398" s="385">
        <f>D398-R398</f>
        <v>0</v>
      </c>
    </row>
    <row r="399" spans="1:19" ht="33.75" customHeight="1" x14ac:dyDescent="0.2">
      <c r="A399" s="466" t="s">
        <v>590</v>
      </c>
      <c r="B399" s="386" t="s">
        <v>409</v>
      </c>
      <c r="C399" s="419"/>
      <c r="D399" s="419"/>
      <c r="E399" s="403"/>
      <c r="F399" s="403"/>
      <c r="G399" s="403"/>
      <c r="H399" s="403"/>
      <c r="I399" s="403"/>
      <c r="J399" s="403"/>
      <c r="K399" s="403"/>
      <c r="L399" s="403"/>
      <c r="M399" s="403"/>
      <c r="N399" s="403"/>
      <c r="O399" s="403"/>
      <c r="P399" s="403"/>
      <c r="Q399" s="403"/>
      <c r="R399" s="403"/>
      <c r="S399" s="403"/>
    </row>
    <row r="400" spans="1:19" ht="19.5" customHeight="1" x14ac:dyDescent="0.2">
      <c r="A400" s="413"/>
      <c r="B400" s="400" t="s">
        <v>503</v>
      </c>
      <c r="C400" s="417">
        <f t="shared" ref="C400:S400" si="170">C401+C404</f>
        <v>22300000</v>
      </c>
      <c r="D400" s="417">
        <f t="shared" si="170"/>
        <v>26880000</v>
      </c>
      <c r="E400" s="417">
        <f t="shared" si="170"/>
        <v>0</v>
      </c>
      <c r="F400" s="417">
        <f t="shared" si="170"/>
        <v>1452297.04</v>
      </c>
      <c r="G400" s="417">
        <f t="shared" si="170"/>
        <v>2885991.9299999997</v>
      </c>
      <c r="H400" s="417">
        <f t="shared" si="170"/>
        <v>1745884.0499999998</v>
      </c>
      <c r="I400" s="417">
        <f t="shared" si="170"/>
        <v>2127041.0300000003</v>
      </c>
      <c r="J400" s="417">
        <f t="shared" si="170"/>
        <v>2836481.8600000003</v>
      </c>
      <c r="K400" s="417">
        <f t="shared" si="170"/>
        <v>1481242.8399999999</v>
      </c>
      <c r="L400" s="417">
        <f t="shared" si="170"/>
        <v>2870225.34</v>
      </c>
      <c r="M400" s="417">
        <f t="shared" si="170"/>
        <v>1620466.3599999994</v>
      </c>
      <c r="N400" s="417">
        <f t="shared" si="170"/>
        <v>911508.65000000224</v>
      </c>
      <c r="O400" s="417">
        <f t="shared" si="170"/>
        <v>2642470</v>
      </c>
      <c r="P400" s="417">
        <f t="shared" si="170"/>
        <v>2615507.1699999981</v>
      </c>
      <c r="Q400" s="417">
        <f t="shared" si="170"/>
        <v>3685225.5</v>
      </c>
      <c r="R400" s="417">
        <f t="shared" si="170"/>
        <v>26874341.77</v>
      </c>
      <c r="S400" s="417">
        <f t="shared" si="170"/>
        <v>5658.230000000447</v>
      </c>
    </row>
    <row r="401" spans="1:19" ht="19.5" customHeight="1" x14ac:dyDescent="0.2">
      <c r="A401" s="413"/>
      <c r="B401" s="400" t="s">
        <v>34</v>
      </c>
      <c r="C401" s="417">
        <f>SUM(C402:C403)</f>
        <v>22300000</v>
      </c>
      <c r="D401" s="417">
        <f>SUM(D402:D403)</f>
        <v>26880000</v>
      </c>
      <c r="E401" s="417">
        <f t="shared" ref="E401:S401" si="171">SUM(E402:E403)</f>
        <v>0</v>
      </c>
      <c r="F401" s="417">
        <f t="shared" si="171"/>
        <v>1452297.04</v>
      </c>
      <c r="G401" s="417">
        <f t="shared" si="171"/>
        <v>2885991.9299999997</v>
      </c>
      <c r="H401" s="417">
        <f t="shared" si="171"/>
        <v>1745884.0499999998</v>
      </c>
      <c r="I401" s="417">
        <f t="shared" si="171"/>
        <v>2127041.0300000003</v>
      </c>
      <c r="J401" s="417">
        <f t="shared" si="171"/>
        <v>2836481.8600000003</v>
      </c>
      <c r="K401" s="417">
        <f t="shared" si="171"/>
        <v>1481242.8399999999</v>
      </c>
      <c r="L401" s="417">
        <f t="shared" si="171"/>
        <v>2870225.34</v>
      </c>
      <c r="M401" s="417">
        <f t="shared" si="171"/>
        <v>1620466.3599999994</v>
      </c>
      <c r="N401" s="417">
        <f t="shared" si="171"/>
        <v>911508.65000000224</v>
      </c>
      <c r="O401" s="417">
        <f t="shared" si="171"/>
        <v>2642470</v>
      </c>
      <c r="P401" s="417">
        <f t="shared" si="171"/>
        <v>2615507.1699999981</v>
      </c>
      <c r="Q401" s="417">
        <f t="shared" si="171"/>
        <v>3685225.5</v>
      </c>
      <c r="R401" s="417">
        <f t="shared" si="171"/>
        <v>26874341.77</v>
      </c>
      <c r="S401" s="417">
        <f t="shared" si="171"/>
        <v>5658.230000000447</v>
      </c>
    </row>
    <row r="402" spans="1:19" ht="19.5" customHeight="1" x14ac:dyDescent="0.2">
      <c r="A402" s="413"/>
      <c r="B402" s="400" t="s">
        <v>36</v>
      </c>
      <c r="C402" s="420">
        <v>20000</v>
      </c>
      <c r="D402" s="420">
        <v>0</v>
      </c>
      <c r="E402" s="420"/>
      <c r="F402" s="417"/>
      <c r="G402" s="417">
        <v>0</v>
      </c>
      <c r="H402" s="417">
        <v>0</v>
      </c>
      <c r="I402" s="417">
        <v>0</v>
      </c>
      <c r="J402" s="417">
        <v>0</v>
      </c>
      <c r="K402" s="417">
        <v>0</v>
      </c>
      <c r="L402" s="417">
        <v>0</v>
      </c>
      <c r="M402" s="417">
        <v>0</v>
      </c>
      <c r="N402" s="417">
        <v>0</v>
      </c>
      <c r="O402" s="417">
        <v>0</v>
      </c>
      <c r="P402" s="417">
        <v>0</v>
      </c>
      <c r="Q402" s="417">
        <v>0</v>
      </c>
      <c r="R402" s="420">
        <f>SUM(F402:Q402)</f>
        <v>0</v>
      </c>
      <c r="S402" s="385">
        <f>D402-R402</f>
        <v>0</v>
      </c>
    </row>
    <row r="403" spans="1:19" ht="19.5" customHeight="1" x14ac:dyDescent="0.2">
      <c r="A403" s="413"/>
      <c r="B403" s="400" t="s">
        <v>39</v>
      </c>
      <c r="C403" s="385">
        <v>22280000</v>
      </c>
      <c r="D403" s="385">
        <v>26880000</v>
      </c>
      <c r="E403" s="440"/>
      <c r="F403" s="440">
        <v>1452297.04</v>
      </c>
      <c r="G403" s="440">
        <v>2885991.9299999997</v>
      </c>
      <c r="H403" s="440">
        <v>1745884.0499999998</v>
      </c>
      <c r="I403" s="440">
        <v>2127041.0300000003</v>
      </c>
      <c r="J403" s="440">
        <v>2836481.8600000003</v>
      </c>
      <c r="K403" s="440">
        <v>1481242.8399999999</v>
      </c>
      <c r="L403" s="440">
        <v>2870225.34</v>
      </c>
      <c r="M403" s="440">
        <v>1620466.3599999994</v>
      </c>
      <c r="N403" s="440">
        <v>911508.65000000224</v>
      </c>
      <c r="O403" s="440">
        <v>2642470</v>
      </c>
      <c r="P403" s="440">
        <v>2615507.1699999981</v>
      </c>
      <c r="Q403" s="440">
        <v>3685225.5</v>
      </c>
      <c r="R403" s="440">
        <f>SUM(F403:Q403)</f>
        <v>26874341.77</v>
      </c>
      <c r="S403" s="385">
        <f>D403-R403</f>
        <v>5658.230000000447</v>
      </c>
    </row>
    <row r="404" spans="1:19" ht="19.5" customHeight="1" x14ac:dyDescent="0.2">
      <c r="A404" s="413"/>
      <c r="B404" s="400" t="s">
        <v>43</v>
      </c>
      <c r="C404" s="385"/>
      <c r="D404" s="385"/>
      <c r="E404" s="440"/>
      <c r="F404" s="440"/>
      <c r="G404" s="440">
        <v>0</v>
      </c>
      <c r="H404" s="440">
        <v>0</v>
      </c>
      <c r="I404" s="440">
        <v>0</v>
      </c>
      <c r="J404" s="440">
        <v>0</v>
      </c>
      <c r="K404" s="440">
        <v>0</v>
      </c>
      <c r="L404" s="440">
        <v>0</v>
      </c>
      <c r="M404" s="440">
        <v>0</v>
      </c>
      <c r="N404" s="440">
        <v>0</v>
      </c>
      <c r="O404" s="440">
        <v>0</v>
      </c>
      <c r="P404" s="440">
        <v>0</v>
      </c>
      <c r="Q404" s="440">
        <v>0</v>
      </c>
      <c r="R404" s="440">
        <f>SUM(F404:Q404)</f>
        <v>0</v>
      </c>
      <c r="S404" s="385">
        <f>D404-R404</f>
        <v>0</v>
      </c>
    </row>
    <row r="405" spans="1:19" ht="35.25" customHeight="1" x14ac:dyDescent="0.2">
      <c r="A405" s="466" t="s">
        <v>412</v>
      </c>
      <c r="B405" s="386" t="s">
        <v>413</v>
      </c>
      <c r="C405" s="419"/>
      <c r="D405" s="419"/>
      <c r="E405" s="385"/>
      <c r="F405" s="385"/>
      <c r="G405" s="385"/>
      <c r="H405" s="385"/>
      <c r="I405" s="385"/>
      <c r="J405" s="385"/>
      <c r="K405" s="385"/>
      <c r="L405" s="385"/>
      <c r="M405" s="385"/>
      <c r="N405" s="385"/>
      <c r="O405" s="385"/>
      <c r="P405" s="385"/>
      <c r="Q405" s="385"/>
      <c r="R405" s="385"/>
      <c r="S405" s="385"/>
    </row>
    <row r="406" spans="1:19" ht="19.5" customHeight="1" x14ac:dyDescent="0.2">
      <c r="A406" s="413"/>
      <c r="B406" s="400" t="s">
        <v>503</v>
      </c>
      <c r="C406" s="417">
        <f t="shared" ref="C406:R407" si="172">C407</f>
        <v>1000000</v>
      </c>
      <c r="D406" s="417">
        <f t="shared" si="172"/>
        <v>698500</v>
      </c>
      <c r="E406" s="417">
        <f t="shared" si="172"/>
        <v>0</v>
      </c>
      <c r="F406" s="417">
        <f t="shared" si="172"/>
        <v>58432.97</v>
      </c>
      <c r="G406" s="417">
        <f t="shared" si="172"/>
        <v>0</v>
      </c>
      <c r="H406" s="417">
        <f t="shared" si="172"/>
        <v>76851.429999999993</v>
      </c>
      <c r="I406" s="417">
        <f t="shared" si="172"/>
        <v>72770.47</v>
      </c>
      <c r="J406" s="417">
        <f t="shared" si="172"/>
        <v>61702.570000000007</v>
      </c>
      <c r="K406" s="417">
        <f t="shared" si="172"/>
        <v>80527.659999999974</v>
      </c>
      <c r="L406" s="417">
        <f t="shared" si="172"/>
        <v>78532.600000000035</v>
      </c>
      <c r="M406" s="417">
        <f t="shared" si="172"/>
        <v>251.65999999997439</v>
      </c>
      <c r="N406" s="417">
        <f t="shared" si="172"/>
        <v>28420.090000000026</v>
      </c>
      <c r="O406" s="417">
        <f t="shared" si="172"/>
        <v>117002.77999999997</v>
      </c>
      <c r="P406" s="417">
        <f t="shared" si="172"/>
        <v>81255.089999999967</v>
      </c>
      <c r="Q406" s="417">
        <f t="shared" si="172"/>
        <v>42662.960000000079</v>
      </c>
      <c r="R406" s="417">
        <f t="shared" si="172"/>
        <v>698410.28</v>
      </c>
      <c r="S406" s="417">
        <f>S407</f>
        <v>89.71999999997206</v>
      </c>
    </row>
    <row r="407" spans="1:19" ht="19.5" customHeight="1" x14ac:dyDescent="0.2">
      <c r="A407" s="413"/>
      <c r="B407" s="400" t="s">
        <v>34</v>
      </c>
      <c r="C407" s="417">
        <f t="shared" si="172"/>
        <v>1000000</v>
      </c>
      <c r="D407" s="417">
        <f t="shared" si="172"/>
        <v>698500</v>
      </c>
      <c r="E407" s="417">
        <f t="shared" si="172"/>
        <v>0</v>
      </c>
      <c r="F407" s="417">
        <f t="shared" si="172"/>
        <v>58432.97</v>
      </c>
      <c r="G407" s="417">
        <f t="shared" si="172"/>
        <v>0</v>
      </c>
      <c r="H407" s="417">
        <f t="shared" si="172"/>
        <v>76851.429999999993</v>
      </c>
      <c r="I407" s="417">
        <f t="shared" si="172"/>
        <v>72770.47</v>
      </c>
      <c r="J407" s="417">
        <f t="shared" si="172"/>
        <v>61702.570000000007</v>
      </c>
      <c r="K407" s="417">
        <f t="shared" si="172"/>
        <v>80527.659999999974</v>
      </c>
      <c r="L407" s="417">
        <f t="shared" si="172"/>
        <v>78532.600000000035</v>
      </c>
      <c r="M407" s="417">
        <f t="shared" si="172"/>
        <v>251.65999999997439</v>
      </c>
      <c r="N407" s="417">
        <f t="shared" si="172"/>
        <v>28420.090000000026</v>
      </c>
      <c r="O407" s="417">
        <f t="shared" si="172"/>
        <v>117002.77999999997</v>
      </c>
      <c r="P407" s="417">
        <f t="shared" si="172"/>
        <v>81255.089999999967</v>
      </c>
      <c r="Q407" s="417">
        <f t="shared" si="172"/>
        <v>42662.960000000079</v>
      </c>
      <c r="R407" s="417">
        <f t="shared" si="172"/>
        <v>698410.28</v>
      </c>
      <c r="S407" s="417">
        <f>S408</f>
        <v>89.71999999997206</v>
      </c>
    </row>
    <row r="408" spans="1:19" ht="19.5" customHeight="1" x14ac:dyDescent="0.2">
      <c r="A408" s="413"/>
      <c r="B408" s="400" t="s">
        <v>36</v>
      </c>
      <c r="C408" s="385">
        <v>1000000</v>
      </c>
      <c r="D408" s="385">
        <v>698500</v>
      </c>
      <c r="E408" s="440"/>
      <c r="F408" s="440">
        <v>58432.97</v>
      </c>
      <c r="G408" s="440">
        <v>0</v>
      </c>
      <c r="H408" s="440">
        <v>76851.429999999993</v>
      </c>
      <c r="I408" s="440">
        <v>72770.47</v>
      </c>
      <c r="J408" s="440">
        <v>61702.570000000007</v>
      </c>
      <c r="K408" s="440">
        <v>80527.659999999974</v>
      </c>
      <c r="L408" s="440">
        <v>78532.600000000035</v>
      </c>
      <c r="M408" s="440">
        <v>251.65999999997439</v>
      </c>
      <c r="N408" s="440">
        <v>28420.090000000026</v>
      </c>
      <c r="O408" s="440">
        <v>117002.77999999997</v>
      </c>
      <c r="P408" s="440">
        <v>81255.089999999967</v>
      </c>
      <c r="Q408" s="440">
        <v>42662.960000000079</v>
      </c>
      <c r="R408" s="440">
        <f>SUM(F408:Q408)</f>
        <v>698410.28</v>
      </c>
      <c r="S408" s="385">
        <f>D408-R408</f>
        <v>89.71999999997206</v>
      </c>
    </row>
    <row r="409" spans="1:19" ht="34.5" customHeight="1" x14ac:dyDescent="0.2">
      <c r="A409" s="466" t="s">
        <v>304</v>
      </c>
      <c r="B409" s="386" t="s">
        <v>591</v>
      </c>
      <c r="C409" s="385"/>
      <c r="D409" s="385"/>
      <c r="E409" s="440"/>
      <c r="F409" s="440"/>
      <c r="G409" s="440"/>
      <c r="H409" s="440"/>
      <c r="I409" s="440"/>
      <c r="J409" s="440"/>
      <c r="K409" s="440"/>
      <c r="L409" s="440"/>
      <c r="M409" s="440"/>
      <c r="N409" s="440"/>
      <c r="O409" s="440"/>
      <c r="P409" s="440"/>
      <c r="Q409" s="440"/>
      <c r="R409" s="440"/>
      <c r="S409" s="385"/>
    </row>
    <row r="410" spans="1:19" ht="19.5" customHeight="1" x14ac:dyDescent="0.2">
      <c r="A410" s="413"/>
      <c r="B410" s="400" t="s">
        <v>503</v>
      </c>
      <c r="C410" s="417">
        <f>C411</f>
        <v>10000000</v>
      </c>
      <c r="D410" s="417">
        <f t="shared" ref="D410:S410" si="173">D411</f>
        <v>8074600</v>
      </c>
      <c r="E410" s="417">
        <f t="shared" si="173"/>
        <v>0</v>
      </c>
      <c r="F410" s="417">
        <f t="shared" si="173"/>
        <v>6666.65</v>
      </c>
      <c r="G410" s="417">
        <f t="shared" si="173"/>
        <v>6666.65</v>
      </c>
      <c r="H410" s="417">
        <f t="shared" si="173"/>
        <v>6666.6500000000015</v>
      </c>
      <c r="I410" s="417">
        <f t="shared" si="173"/>
        <v>7298.23</v>
      </c>
      <c r="J410" s="417">
        <f t="shared" si="173"/>
        <v>67803.45</v>
      </c>
      <c r="K410" s="417">
        <f t="shared" si="173"/>
        <v>7666.6500000000015</v>
      </c>
      <c r="L410" s="417">
        <f t="shared" si="173"/>
        <v>112870.34999999999</v>
      </c>
      <c r="M410" s="417">
        <f t="shared" si="173"/>
        <v>1033.5</v>
      </c>
      <c r="N410" s="417">
        <f t="shared" si="173"/>
        <v>107926.41999999998</v>
      </c>
      <c r="O410" s="417">
        <f t="shared" si="173"/>
        <v>84013.350000000035</v>
      </c>
      <c r="P410" s="417">
        <f t="shared" si="173"/>
        <v>181246.57999999996</v>
      </c>
      <c r="Q410" s="417">
        <f t="shared" si="173"/>
        <v>7027007.9500000002</v>
      </c>
      <c r="R410" s="417">
        <f t="shared" si="173"/>
        <v>7616866.4299999997</v>
      </c>
      <c r="S410" s="417">
        <f t="shared" si="173"/>
        <v>457733.57000000018</v>
      </c>
    </row>
    <row r="411" spans="1:19" ht="19.5" customHeight="1" x14ac:dyDescent="0.2">
      <c r="A411" s="413"/>
      <c r="B411" s="400" t="s">
        <v>34</v>
      </c>
      <c r="C411" s="417">
        <f>SUM(C412:C413)</f>
        <v>10000000</v>
      </c>
      <c r="D411" s="417">
        <f t="shared" ref="D411:S411" si="174">SUM(D412:D413)</f>
        <v>8074600</v>
      </c>
      <c r="E411" s="417">
        <f t="shared" si="174"/>
        <v>0</v>
      </c>
      <c r="F411" s="417">
        <f t="shared" si="174"/>
        <v>6666.65</v>
      </c>
      <c r="G411" s="417">
        <f t="shared" si="174"/>
        <v>6666.65</v>
      </c>
      <c r="H411" s="417">
        <f t="shared" si="174"/>
        <v>6666.6500000000015</v>
      </c>
      <c r="I411" s="417">
        <f t="shared" si="174"/>
        <v>7298.23</v>
      </c>
      <c r="J411" s="417">
        <f t="shared" si="174"/>
        <v>67803.45</v>
      </c>
      <c r="K411" s="417">
        <f t="shared" si="174"/>
        <v>7666.6500000000015</v>
      </c>
      <c r="L411" s="417">
        <f t="shared" si="174"/>
        <v>112870.34999999999</v>
      </c>
      <c r="M411" s="417">
        <f t="shared" si="174"/>
        <v>1033.5</v>
      </c>
      <c r="N411" s="417">
        <f t="shared" si="174"/>
        <v>107926.41999999998</v>
      </c>
      <c r="O411" s="417">
        <f t="shared" si="174"/>
        <v>84013.350000000035</v>
      </c>
      <c r="P411" s="417">
        <f t="shared" si="174"/>
        <v>181246.57999999996</v>
      </c>
      <c r="Q411" s="417">
        <f t="shared" si="174"/>
        <v>7027007.9500000002</v>
      </c>
      <c r="R411" s="417">
        <f t="shared" si="174"/>
        <v>7616866.4299999997</v>
      </c>
      <c r="S411" s="417">
        <f t="shared" si="174"/>
        <v>457733.57000000018</v>
      </c>
    </row>
    <row r="412" spans="1:19" ht="19.5" customHeight="1" x14ac:dyDescent="0.2">
      <c r="A412" s="413"/>
      <c r="B412" s="400" t="s">
        <v>36</v>
      </c>
      <c r="C412" s="385">
        <v>450000</v>
      </c>
      <c r="D412" s="385">
        <v>56500</v>
      </c>
      <c r="E412" s="440"/>
      <c r="F412" s="440">
        <v>6666.65</v>
      </c>
      <c r="G412" s="440">
        <v>6666.65</v>
      </c>
      <c r="H412" s="440">
        <v>6666.6500000000015</v>
      </c>
      <c r="I412" s="440">
        <v>7298.23</v>
      </c>
      <c r="J412" s="440">
        <f>6666.65+200+800</f>
        <v>7666.65</v>
      </c>
      <c r="K412" s="440">
        <v>7666.6500000000015</v>
      </c>
      <c r="L412" s="440">
        <v>7666.6499999999942</v>
      </c>
      <c r="M412" s="440">
        <v>1033.5</v>
      </c>
      <c r="N412" s="440">
        <v>1033.5</v>
      </c>
      <c r="O412" s="440">
        <v>1033.5</v>
      </c>
      <c r="P412" s="440">
        <v>1033.5</v>
      </c>
      <c r="Q412" s="440">
        <v>1933.5</v>
      </c>
      <c r="R412" s="440">
        <f>SUM(F412:Q412)</f>
        <v>56365.63</v>
      </c>
      <c r="S412" s="385">
        <f>D412-R412</f>
        <v>134.37000000000262</v>
      </c>
    </row>
    <row r="413" spans="1:19" ht="20.25" customHeight="1" x14ac:dyDescent="0.2">
      <c r="A413" s="413"/>
      <c r="B413" s="400" t="s">
        <v>39</v>
      </c>
      <c r="C413" s="385">
        <v>9550000</v>
      </c>
      <c r="D413" s="385">
        <v>8018100</v>
      </c>
      <c r="E413" s="440"/>
      <c r="F413" s="440"/>
      <c r="G413" s="440">
        <v>0</v>
      </c>
      <c r="H413" s="440">
        <v>0</v>
      </c>
      <c r="I413" s="440">
        <v>0</v>
      </c>
      <c r="J413" s="440">
        <v>60136.800000000003</v>
      </c>
      <c r="K413" s="440">
        <v>0</v>
      </c>
      <c r="L413" s="440">
        <v>105203.7</v>
      </c>
      <c r="M413" s="440">
        <v>0</v>
      </c>
      <c r="N413" s="440">
        <v>106892.91999999998</v>
      </c>
      <c r="O413" s="440">
        <v>82979.850000000035</v>
      </c>
      <c r="P413" s="440">
        <v>180213.07999999996</v>
      </c>
      <c r="Q413" s="440">
        <v>7025074.4500000002</v>
      </c>
      <c r="R413" s="440">
        <f>SUM(F413:Q413)</f>
        <v>7560500.7999999998</v>
      </c>
      <c r="S413" s="385">
        <f>D413-R413</f>
        <v>457599.20000000019</v>
      </c>
    </row>
    <row r="414" spans="1:19" ht="45" x14ac:dyDescent="0.2">
      <c r="A414" s="478" t="s">
        <v>303</v>
      </c>
      <c r="B414" s="479" t="s">
        <v>592</v>
      </c>
      <c r="C414" s="480"/>
      <c r="D414" s="480"/>
      <c r="E414" s="480"/>
      <c r="F414" s="480"/>
      <c r="G414" s="480"/>
      <c r="H414" s="480"/>
      <c r="I414" s="480"/>
      <c r="J414" s="480"/>
      <c r="K414" s="480"/>
      <c r="L414" s="480"/>
      <c r="M414" s="480"/>
      <c r="N414" s="480"/>
      <c r="O414" s="480"/>
      <c r="P414" s="480"/>
      <c r="Q414" s="480"/>
      <c r="R414" s="480"/>
      <c r="S414" s="480"/>
    </row>
    <row r="415" spans="1:19" ht="21.75" customHeight="1" x14ac:dyDescent="0.2">
      <c r="A415" s="478"/>
      <c r="B415" s="409" t="s">
        <v>503</v>
      </c>
      <c r="C415" s="425">
        <f>C416</f>
        <v>700000</v>
      </c>
      <c r="D415" s="425">
        <f t="shared" ref="D415:S415" si="175">D416</f>
        <v>512200</v>
      </c>
      <c r="E415" s="425">
        <f t="shared" si="175"/>
        <v>0</v>
      </c>
      <c r="F415" s="425">
        <f t="shared" si="175"/>
        <v>31530</v>
      </c>
      <c r="G415" s="425">
        <f t="shared" si="175"/>
        <v>31960</v>
      </c>
      <c r="H415" s="425">
        <f t="shared" si="175"/>
        <v>32536.190000000006</v>
      </c>
      <c r="I415" s="425">
        <f t="shared" si="175"/>
        <v>32013.839999999989</v>
      </c>
      <c r="J415" s="425">
        <f t="shared" si="175"/>
        <v>43015.159999999996</v>
      </c>
      <c r="K415" s="425">
        <f t="shared" si="175"/>
        <v>32891</v>
      </c>
      <c r="L415" s="425">
        <f t="shared" si="175"/>
        <v>40080.230000000018</v>
      </c>
      <c r="M415" s="425">
        <f t="shared" si="175"/>
        <v>35977.999999999971</v>
      </c>
      <c r="N415" s="425">
        <f t="shared" si="175"/>
        <v>43687.570000000007</v>
      </c>
      <c r="O415" s="425">
        <f t="shared" si="175"/>
        <v>32745.430000000029</v>
      </c>
      <c r="P415" s="425">
        <f t="shared" si="175"/>
        <v>36780</v>
      </c>
      <c r="Q415" s="425">
        <f t="shared" si="175"/>
        <v>85995.200000000012</v>
      </c>
      <c r="R415" s="425">
        <f t="shared" si="175"/>
        <v>479212.62000000005</v>
      </c>
      <c r="S415" s="425">
        <f t="shared" si="175"/>
        <v>32987.379999999976</v>
      </c>
    </row>
    <row r="416" spans="1:19" ht="21.75" customHeight="1" x14ac:dyDescent="0.2">
      <c r="A416" s="478"/>
      <c r="B416" s="409" t="s">
        <v>34</v>
      </c>
      <c r="C416" s="425">
        <f>SUM(C417:C419)</f>
        <v>700000</v>
      </c>
      <c r="D416" s="425">
        <f>SUM(D417:D419)</f>
        <v>512200</v>
      </c>
      <c r="E416" s="425">
        <f>SUM(E417:E419)</f>
        <v>0</v>
      </c>
      <c r="F416" s="425">
        <f t="shared" ref="F416:S416" si="176">SUM(F417:F419)</f>
        <v>31530</v>
      </c>
      <c r="G416" s="425">
        <f t="shared" si="176"/>
        <v>31960</v>
      </c>
      <c r="H416" s="425">
        <f t="shared" si="176"/>
        <v>32536.190000000006</v>
      </c>
      <c r="I416" s="425">
        <f t="shared" si="176"/>
        <v>32013.839999999989</v>
      </c>
      <c r="J416" s="425">
        <f t="shared" si="176"/>
        <v>43015.159999999996</v>
      </c>
      <c r="K416" s="425">
        <f t="shared" si="176"/>
        <v>32891</v>
      </c>
      <c r="L416" s="425">
        <f t="shared" si="176"/>
        <v>40080.230000000018</v>
      </c>
      <c r="M416" s="425">
        <f t="shared" si="176"/>
        <v>35977.999999999971</v>
      </c>
      <c r="N416" s="425">
        <f t="shared" si="176"/>
        <v>43687.570000000007</v>
      </c>
      <c r="O416" s="425">
        <f t="shared" si="176"/>
        <v>32745.430000000029</v>
      </c>
      <c r="P416" s="425">
        <f t="shared" si="176"/>
        <v>36780</v>
      </c>
      <c r="Q416" s="425">
        <f t="shared" si="176"/>
        <v>85995.200000000012</v>
      </c>
      <c r="R416" s="425">
        <f t="shared" si="176"/>
        <v>479212.62000000005</v>
      </c>
      <c r="S416" s="425">
        <f t="shared" si="176"/>
        <v>32987.379999999976</v>
      </c>
    </row>
    <row r="417" spans="1:19" ht="21.75" customHeight="1" x14ac:dyDescent="0.2">
      <c r="A417" s="481"/>
      <c r="B417" s="482" t="s">
        <v>36</v>
      </c>
      <c r="C417" s="438">
        <v>650000</v>
      </c>
      <c r="D417" s="438">
        <v>454400</v>
      </c>
      <c r="E417" s="438"/>
      <c r="F417" s="438">
        <v>31530</v>
      </c>
      <c r="G417" s="438">
        <v>29555</v>
      </c>
      <c r="H417" s="438">
        <v>30695.710000000006</v>
      </c>
      <c r="I417" s="438">
        <v>29276.989999999991</v>
      </c>
      <c r="J417" s="438">
        <v>40347.449999999997</v>
      </c>
      <c r="K417" s="438">
        <v>30855.279999999999</v>
      </c>
      <c r="L417" s="438">
        <v>37612.050000000017</v>
      </c>
      <c r="M417" s="438">
        <v>34302.999999999971</v>
      </c>
      <c r="N417" s="438">
        <v>40162.570000000007</v>
      </c>
      <c r="O417" s="438">
        <v>29103.030000000028</v>
      </c>
      <c r="P417" s="438">
        <v>35380</v>
      </c>
      <c r="Q417" s="438">
        <v>81399.950000000012</v>
      </c>
      <c r="R417" s="438">
        <f>SUM(F417:Q417)</f>
        <v>450221.03</v>
      </c>
      <c r="S417" s="438">
        <f>D417-R417</f>
        <v>4178.9699999999721</v>
      </c>
    </row>
    <row r="418" spans="1:19" ht="21.75" customHeight="1" x14ac:dyDescent="0.2">
      <c r="A418" s="481"/>
      <c r="B418" s="482" t="s">
        <v>39</v>
      </c>
      <c r="C418" s="438"/>
      <c r="D418" s="438">
        <v>15000</v>
      </c>
      <c r="E418" s="438"/>
      <c r="F418" s="438"/>
      <c r="G418" s="438">
        <v>2405</v>
      </c>
      <c r="H418" s="438">
        <v>1190.48</v>
      </c>
      <c r="I418" s="438">
        <v>1336.85</v>
      </c>
      <c r="J418" s="438">
        <v>1117.71</v>
      </c>
      <c r="K418" s="438">
        <v>285.72000000000025</v>
      </c>
      <c r="L418" s="438">
        <v>818.17999999999938</v>
      </c>
      <c r="M418" s="438">
        <v>0</v>
      </c>
      <c r="N418" s="438">
        <v>1250.0000000000009</v>
      </c>
      <c r="O418" s="438">
        <v>2317.3999999999996</v>
      </c>
      <c r="P418" s="438">
        <v>900</v>
      </c>
      <c r="Q418" s="438">
        <v>1295.25</v>
      </c>
      <c r="R418" s="438">
        <f>SUM(F418:Q418)</f>
        <v>12916.59</v>
      </c>
      <c r="S418" s="438">
        <f>D418-R418</f>
        <v>2083.41</v>
      </c>
    </row>
    <row r="419" spans="1:19" ht="21.75" customHeight="1" x14ac:dyDescent="0.2">
      <c r="A419" s="483"/>
      <c r="B419" s="484" t="s">
        <v>40</v>
      </c>
      <c r="C419" s="438">
        <v>50000</v>
      </c>
      <c r="D419" s="438">
        <v>42800</v>
      </c>
      <c r="E419" s="438"/>
      <c r="F419" s="438"/>
      <c r="G419" s="438">
        <v>0</v>
      </c>
      <c r="H419" s="438">
        <v>650</v>
      </c>
      <c r="I419" s="438">
        <v>1400</v>
      </c>
      <c r="J419" s="438">
        <v>1550</v>
      </c>
      <c r="K419" s="438">
        <v>1750</v>
      </c>
      <c r="L419" s="438">
        <v>1650</v>
      </c>
      <c r="M419" s="438">
        <v>1675</v>
      </c>
      <c r="N419" s="438">
        <v>2275</v>
      </c>
      <c r="O419" s="438">
        <v>1325</v>
      </c>
      <c r="P419" s="438">
        <v>500</v>
      </c>
      <c r="Q419" s="438">
        <v>3300</v>
      </c>
      <c r="R419" s="438">
        <f>SUM(F419:Q419)</f>
        <v>16075</v>
      </c>
      <c r="S419" s="438">
        <f>D419-R419</f>
        <v>26725</v>
      </c>
    </row>
    <row r="420" spans="1:19" ht="60" x14ac:dyDescent="0.2">
      <c r="A420" s="478" t="s">
        <v>593</v>
      </c>
      <c r="B420" s="479" t="s">
        <v>594</v>
      </c>
      <c r="C420" s="424"/>
      <c r="D420" s="424"/>
      <c r="E420" s="424"/>
      <c r="F420" s="424"/>
      <c r="G420" s="424"/>
      <c r="H420" s="424"/>
      <c r="I420" s="424"/>
      <c r="J420" s="424"/>
      <c r="K420" s="424"/>
      <c r="L420" s="424"/>
      <c r="M420" s="424"/>
      <c r="N420" s="424"/>
      <c r="O420" s="424"/>
      <c r="P420" s="424"/>
      <c r="Q420" s="424"/>
      <c r="R420" s="424"/>
      <c r="S420" s="424"/>
    </row>
    <row r="421" spans="1:19" ht="22.5" customHeight="1" x14ac:dyDescent="0.2">
      <c r="A421" s="478"/>
      <c r="B421" s="409" t="s">
        <v>503</v>
      </c>
      <c r="C421" s="425">
        <f>C422</f>
        <v>2090000</v>
      </c>
      <c r="D421" s="425">
        <f>D422</f>
        <v>2090000</v>
      </c>
      <c r="E421" s="425">
        <f>E422</f>
        <v>0</v>
      </c>
      <c r="F421" s="425">
        <f t="shared" ref="F421:S421" si="177">F422</f>
        <v>0</v>
      </c>
      <c r="G421" s="425">
        <f t="shared" si="177"/>
        <v>0</v>
      </c>
      <c r="H421" s="425">
        <f t="shared" si="177"/>
        <v>0</v>
      </c>
      <c r="I421" s="425">
        <f t="shared" si="177"/>
        <v>7600</v>
      </c>
      <c r="J421" s="425">
        <f t="shared" si="177"/>
        <v>16800</v>
      </c>
      <c r="K421" s="425">
        <f t="shared" si="177"/>
        <v>88375</v>
      </c>
      <c r="L421" s="425">
        <f t="shared" si="177"/>
        <v>445974.91000000003</v>
      </c>
      <c r="M421" s="425">
        <f t="shared" si="177"/>
        <v>876385.89</v>
      </c>
      <c r="N421" s="425">
        <f t="shared" si="177"/>
        <v>236347.71999999997</v>
      </c>
      <c r="O421" s="425">
        <f t="shared" si="177"/>
        <v>18008.830000000075</v>
      </c>
      <c r="P421" s="425">
        <f t="shared" si="177"/>
        <v>6000</v>
      </c>
      <c r="Q421" s="425">
        <f t="shared" si="177"/>
        <v>388311.99</v>
      </c>
      <c r="R421" s="425">
        <f t="shared" si="177"/>
        <v>2083804.34</v>
      </c>
      <c r="S421" s="425">
        <f t="shared" si="177"/>
        <v>6195.6599999999162</v>
      </c>
    </row>
    <row r="422" spans="1:19" ht="22.5" customHeight="1" x14ac:dyDescent="0.2">
      <c r="A422" s="478"/>
      <c r="B422" s="409" t="s">
        <v>34</v>
      </c>
      <c r="C422" s="425">
        <f>SUM(C423:C424)</f>
        <v>2090000</v>
      </c>
      <c r="D422" s="425">
        <f t="shared" ref="D422:R422" si="178">SUM(D423:D424)</f>
        <v>2090000</v>
      </c>
      <c r="E422" s="425">
        <f t="shared" si="178"/>
        <v>0</v>
      </c>
      <c r="F422" s="425">
        <f t="shared" si="178"/>
        <v>0</v>
      </c>
      <c r="G422" s="425">
        <f t="shared" si="178"/>
        <v>0</v>
      </c>
      <c r="H422" s="425">
        <f t="shared" si="178"/>
        <v>0</v>
      </c>
      <c r="I422" s="425">
        <f t="shared" si="178"/>
        <v>7600</v>
      </c>
      <c r="J422" s="425">
        <f t="shared" si="178"/>
        <v>16800</v>
      </c>
      <c r="K422" s="425">
        <f t="shared" si="178"/>
        <v>88375</v>
      </c>
      <c r="L422" s="425">
        <f t="shared" si="178"/>
        <v>445974.91000000003</v>
      </c>
      <c r="M422" s="425">
        <f t="shared" si="178"/>
        <v>876385.89</v>
      </c>
      <c r="N422" s="425">
        <f t="shared" si="178"/>
        <v>236347.71999999997</v>
      </c>
      <c r="O422" s="425">
        <f t="shared" si="178"/>
        <v>18008.830000000075</v>
      </c>
      <c r="P422" s="425">
        <f t="shared" si="178"/>
        <v>6000</v>
      </c>
      <c r="Q422" s="425">
        <f t="shared" si="178"/>
        <v>388311.99</v>
      </c>
      <c r="R422" s="425">
        <f t="shared" si="178"/>
        <v>2083804.34</v>
      </c>
      <c r="S422" s="425">
        <f>SUM(S423:S424)</f>
        <v>6195.6599999999162</v>
      </c>
    </row>
    <row r="423" spans="1:19" ht="22.5" customHeight="1" x14ac:dyDescent="0.2">
      <c r="A423" s="481"/>
      <c r="B423" s="482" t="s">
        <v>36</v>
      </c>
      <c r="C423" s="438"/>
      <c r="D423" s="438"/>
      <c r="E423" s="438"/>
      <c r="F423" s="438"/>
      <c r="G423" s="438">
        <v>0</v>
      </c>
      <c r="H423" s="438">
        <v>0</v>
      </c>
      <c r="I423" s="438">
        <v>0</v>
      </c>
      <c r="J423" s="438">
        <v>0</v>
      </c>
      <c r="K423" s="438">
        <v>0</v>
      </c>
      <c r="L423" s="438">
        <v>0</v>
      </c>
      <c r="M423" s="438">
        <v>0</v>
      </c>
      <c r="N423" s="438">
        <v>0</v>
      </c>
      <c r="O423" s="438">
        <v>0</v>
      </c>
      <c r="P423" s="438">
        <v>0</v>
      </c>
      <c r="Q423" s="438">
        <v>0</v>
      </c>
      <c r="R423" s="438">
        <f>SUM(F423:Q423)</f>
        <v>0</v>
      </c>
      <c r="S423" s="438">
        <f>D423-R423</f>
        <v>0</v>
      </c>
    </row>
    <row r="424" spans="1:19" ht="22.5" customHeight="1" x14ac:dyDescent="0.2">
      <c r="A424" s="483"/>
      <c r="B424" s="484" t="s">
        <v>40</v>
      </c>
      <c r="C424" s="438">
        <v>2090000</v>
      </c>
      <c r="D424" s="438">
        <v>2090000</v>
      </c>
      <c r="E424" s="438"/>
      <c r="F424" s="438"/>
      <c r="G424" s="438">
        <v>0</v>
      </c>
      <c r="H424" s="438">
        <v>0</v>
      </c>
      <c r="I424" s="438">
        <v>7600</v>
      </c>
      <c r="J424" s="438">
        <v>16800</v>
      </c>
      <c r="K424" s="438">
        <v>88375</v>
      </c>
      <c r="L424" s="438">
        <v>445974.91000000003</v>
      </c>
      <c r="M424" s="438">
        <v>876385.89</v>
      </c>
      <c r="N424" s="438">
        <v>236347.71999999997</v>
      </c>
      <c r="O424" s="438">
        <v>18008.830000000075</v>
      </c>
      <c r="P424" s="438">
        <v>6000</v>
      </c>
      <c r="Q424" s="438">
        <v>388311.99</v>
      </c>
      <c r="R424" s="438">
        <f>SUM(F424:Q424)</f>
        <v>2083804.34</v>
      </c>
      <c r="S424" s="438">
        <f>D424-R424</f>
        <v>6195.6599999999162</v>
      </c>
    </row>
    <row r="425" spans="1:19" x14ac:dyDescent="0.2">
      <c r="A425" s="366"/>
    </row>
    <row r="426" spans="1:19" x14ac:dyDescent="0.2">
      <c r="A426" s="366"/>
    </row>
    <row r="427" spans="1:19" x14ac:dyDescent="0.2">
      <c r="A427" s="366"/>
    </row>
    <row r="428" spans="1:19" x14ac:dyDescent="0.2">
      <c r="A428" s="366"/>
    </row>
    <row r="429" spans="1:19" x14ac:dyDescent="0.2">
      <c r="A429" s="366"/>
    </row>
    <row r="430" spans="1:19" x14ac:dyDescent="0.2">
      <c r="A430" s="366"/>
    </row>
    <row r="431" spans="1:19" x14ac:dyDescent="0.2">
      <c r="A431" s="366"/>
    </row>
    <row r="432" spans="1:19" x14ac:dyDescent="0.2">
      <c r="A432" s="366"/>
    </row>
    <row r="433" spans="1:1" x14ac:dyDescent="0.2">
      <c r="A433" s="366"/>
    </row>
    <row r="434" spans="1:1" x14ac:dyDescent="0.2">
      <c r="A434" s="366"/>
    </row>
    <row r="435" spans="1:1" x14ac:dyDescent="0.2">
      <c r="A435" s="366"/>
    </row>
    <row r="436" spans="1:1" x14ac:dyDescent="0.2">
      <c r="A436" s="366"/>
    </row>
    <row r="437" spans="1:1" x14ac:dyDescent="0.2">
      <c r="A437" s="366"/>
    </row>
    <row r="438" spans="1:1" x14ac:dyDescent="0.2">
      <c r="A438" s="366"/>
    </row>
    <row r="439" spans="1:1" x14ac:dyDescent="0.2">
      <c r="A439" s="366"/>
    </row>
    <row r="440" spans="1:1" x14ac:dyDescent="0.2">
      <c r="A440" s="366"/>
    </row>
    <row r="441" spans="1:1" x14ac:dyDescent="0.2">
      <c r="A441" s="366"/>
    </row>
    <row r="442" spans="1:1" x14ac:dyDescent="0.2">
      <c r="A442" s="366"/>
    </row>
    <row r="443" spans="1:1" x14ac:dyDescent="0.2">
      <c r="A443" s="366"/>
    </row>
    <row r="444" spans="1:1" x14ac:dyDescent="0.2">
      <c r="A444" s="366"/>
    </row>
    <row r="445" spans="1:1" x14ac:dyDescent="0.2">
      <c r="A445" s="366"/>
    </row>
    <row r="446" spans="1:1" x14ac:dyDescent="0.2">
      <c r="A446" s="366"/>
    </row>
    <row r="447" spans="1:1" x14ac:dyDescent="0.2">
      <c r="A447" s="366"/>
    </row>
    <row r="448" spans="1:1" x14ac:dyDescent="0.2">
      <c r="A448" s="366"/>
    </row>
    <row r="449" spans="1:1" x14ac:dyDescent="0.2">
      <c r="A449" s="366"/>
    </row>
    <row r="450" spans="1:1" x14ac:dyDescent="0.2">
      <c r="A450" s="366"/>
    </row>
    <row r="451" spans="1:1" x14ac:dyDescent="0.2">
      <c r="A451" s="366"/>
    </row>
    <row r="452" spans="1:1" x14ac:dyDescent="0.2">
      <c r="A452" s="366"/>
    </row>
    <row r="453" spans="1:1" x14ac:dyDescent="0.2">
      <c r="A453" s="366"/>
    </row>
    <row r="454" spans="1:1" x14ac:dyDescent="0.2">
      <c r="A454" s="366"/>
    </row>
    <row r="455" spans="1:1" x14ac:dyDescent="0.2">
      <c r="A455" s="366"/>
    </row>
    <row r="456" spans="1:1" x14ac:dyDescent="0.2">
      <c r="A456" s="366"/>
    </row>
    <row r="457" spans="1:1" x14ac:dyDescent="0.2">
      <c r="A457" s="366"/>
    </row>
    <row r="458" spans="1:1" x14ac:dyDescent="0.2">
      <c r="A458" s="366"/>
    </row>
    <row r="459" spans="1:1" x14ac:dyDescent="0.2">
      <c r="A459" s="366"/>
    </row>
    <row r="460" spans="1:1" x14ac:dyDescent="0.2">
      <c r="A460" s="366"/>
    </row>
    <row r="461" spans="1:1" x14ac:dyDescent="0.2">
      <c r="A461" s="366"/>
    </row>
    <row r="462" spans="1:1" x14ac:dyDescent="0.2">
      <c r="A462" s="366"/>
    </row>
    <row r="463" spans="1:1" x14ac:dyDescent="0.2">
      <c r="A463" s="366"/>
    </row>
    <row r="464" spans="1:1" x14ac:dyDescent="0.2">
      <c r="A464" s="366"/>
    </row>
    <row r="465" spans="1:1" x14ac:dyDescent="0.2">
      <c r="A465" s="366"/>
    </row>
    <row r="466" spans="1:1" x14ac:dyDescent="0.2">
      <c r="A466" s="366"/>
    </row>
    <row r="467" spans="1:1" x14ac:dyDescent="0.2">
      <c r="A467" s="366"/>
    </row>
    <row r="468" spans="1:1" x14ac:dyDescent="0.2">
      <c r="A468" s="366"/>
    </row>
    <row r="469" spans="1:1" x14ac:dyDescent="0.2">
      <c r="A469" s="366"/>
    </row>
    <row r="470" spans="1:1" x14ac:dyDescent="0.2">
      <c r="A470" s="366"/>
    </row>
    <row r="471" spans="1:1" x14ac:dyDescent="0.2">
      <c r="A471" s="366"/>
    </row>
    <row r="472" spans="1:1" x14ac:dyDescent="0.2">
      <c r="A472" s="366"/>
    </row>
    <row r="473" spans="1:1" x14ac:dyDescent="0.2">
      <c r="A473" s="366"/>
    </row>
    <row r="474" spans="1:1" x14ac:dyDescent="0.2">
      <c r="A474" s="366"/>
    </row>
    <row r="475" spans="1:1" x14ac:dyDescent="0.2">
      <c r="A475" s="366"/>
    </row>
    <row r="476" spans="1:1" x14ac:dyDescent="0.2">
      <c r="A476" s="366"/>
    </row>
    <row r="477" spans="1:1" x14ac:dyDescent="0.2">
      <c r="A477" s="366"/>
    </row>
    <row r="478" spans="1:1" x14ac:dyDescent="0.2">
      <c r="A478" s="366"/>
    </row>
    <row r="479" spans="1:1" x14ac:dyDescent="0.2">
      <c r="A479" s="366"/>
    </row>
    <row r="480" spans="1:1" x14ac:dyDescent="0.2">
      <c r="A480" s="366"/>
    </row>
    <row r="481" spans="1:1" x14ac:dyDescent="0.2">
      <c r="A481" s="366"/>
    </row>
    <row r="482" spans="1:1" x14ac:dyDescent="0.2">
      <c r="A482" s="366"/>
    </row>
    <row r="483" spans="1:1" x14ac:dyDescent="0.2">
      <c r="A483" s="366"/>
    </row>
    <row r="484" spans="1:1" x14ac:dyDescent="0.2">
      <c r="A484" s="366"/>
    </row>
    <row r="485" spans="1:1" x14ac:dyDescent="0.2">
      <c r="A485" s="366"/>
    </row>
    <row r="486" spans="1:1" x14ac:dyDescent="0.2">
      <c r="A486" s="366"/>
    </row>
    <row r="487" spans="1:1" x14ac:dyDescent="0.2">
      <c r="A487" s="366"/>
    </row>
    <row r="488" spans="1:1" x14ac:dyDescent="0.2">
      <c r="A488" s="366"/>
    </row>
    <row r="489" spans="1:1" x14ac:dyDescent="0.2">
      <c r="A489" s="366"/>
    </row>
    <row r="490" spans="1:1" x14ac:dyDescent="0.2">
      <c r="A490" s="366"/>
    </row>
    <row r="491" spans="1:1" x14ac:dyDescent="0.2">
      <c r="A491" s="366"/>
    </row>
    <row r="492" spans="1:1" x14ac:dyDescent="0.2">
      <c r="A492" s="366"/>
    </row>
    <row r="493" spans="1:1" x14ac:dyDescent="0.2">
      <c r="A493" s="366"/>
    </row>
    <row r="494" spans="1:1" x14ac:dyDescent="0.2">
      <c r="A494" s="366"/>
    </row>
    <row r="495" spans="1:1" x14ac:dyDescent="0.2">
      <c r="A495" s="366"/>
    </row>
    <row r="496" spans="1:1" x14ac:dyDescent="0.2">
      <c r="A496" s="366"/>
    </row>
    <row r="497" spans="1:1" x14ac:dyDescent="0.2">
      <c r="A497" s="366"/>
    </row>
    <row r="498" spans="1:1" x14ac:dyDescent="0.2">
      <c r="A498" s="366"/>
    </row>
    <row r="499" spans="1:1" x14ac:dyDescent="0.2">
      <c r="A499" s="366"/>
    </row>
    <row r="500" spans="1:1" x14ac:dyDescent="0.2">
      <c r="A500" s="366"/>
    </row>
    <row r="501" spans="1:1" x14ac:dyDescent="0.2">
      <c r="A501" s="366"/>
    </row>
    <row r="502" spans="1:1" x14ac:dyDescent="0.2">
      <c r="A502" s="366"/>
    </row>
    <row r="503" spans="1:1" x14ac:dyDescent="0.2">
      <c r="A503" s="366"/>
    </row>
    <row r="504" spans="1:1" x14ac:dyDescent="0.2">
      <c r="A504" s="366"/>
    </row>
    <row r="505" spans="1:1" x14ac:dyDescent="0.2">
      <c r="A505" s="366"/>
    </row>
    <row r="506" spans="1:1" x14ac:dyDescent="0.2">
      <c r="A506" s="366"/>
    </row>
    <row r="507" spans="1:1" x14ac:dyDescent="0.2">
      <c r="A507" s="366"/>
    </row>
    <row r="508" spans="1:1" x14ac:dyDescent="0.2">
      <c r="A508" s="366"/>
    </row>
    <row r="509" spans="1:1" x14ac:dyDescent="0.2">
      <c r="A509" s="366"/>
    </row>
    <row r="510" spans="1:1" x14ac:dyDescent="0.2">
      <c r="A510" s="366"/>
    </row>
    <row r="511" spans="1:1" x14ac:dyDescent="0.2">
      <c r="A511" s="366"/>
    </row>
    <row r="512" spans="1:1" x14ac:dyDescent="0.2">
      <c r="A512" s="366"/>
    </row>
    <row r="513" spans="1:1" x14ac:dyDescent="0.2">
      <c r="A513" s="366"/>
    </row>
    <row r="514" spans="1:1" x14ac:dyDescent="0.2">
      <c r="A514" s="366"/>
    </row>
    <row r="515" spans="1:1" x14ac:dyDescent="0.2">
      <c r="A515" s="366"/>
    </row>
    <row r="516" spans="1:1" x14ac:dyDescent="0.2">
      <c r="A516" s="366"/>
    </row>
    <row r="517" spans="1:1" x14ac:dyDescent="0.2">
      <c r="A517" s="366"/>
    </row>
    <row r="518" spans="1:1" x14ac:dyDescent="0.2">
      <c r="A518" s="366"/>
    </row>
    <row r="519" spans="1:1" x14ac:dyDescent="0.2">
      <c r="A519" s="366"/>
    </row>
    <row r="520" spans="1:1" x14ac:dyDescent="0.2">
      <c r="A520" s="366"/>
    </row>
    <row r="521" spans="1:1" x14ac:dyDescent="0.2">
      <c r="A521" s="366"/>
    </row>
    <row r="522" spans="1:1" x14ac:dyDescent="0.2">
      <c r="A522" s="366"/>
    </row>
    <row r="523" spans="1:1" x14ac:dyDescent="0.2">
      <c r="A523" s="366"/>
    </row>
    <row r="524" spans="1:1" x14ac:dyDescent="0.2">
      <c r="A524" s="366"/>
    </row>
    <row r="525" spans="1:1" x14ac:dyDescent="0.2">
      <c r="A525" s="366"/>
    </row>
    <row r="526" spans="1:1" x14ac:dyDescent="0.2">
      <c r="A526" s="366"/>
    </row>
    <row r="527" spans="1:1" x14ac:dyDescent="0.2">
      <c r="A527" s="366"/>
    </row>
    <row r="528" spans="1:1" x14ac:dyDescent="0.2">
      <c r="A528" s="366"/>
    </row>
    <row r="529" spans="1:1" x14ac:dyDescent="0.2">
      <c r="A529" s="366"/>
    </row>
    <row r="530" spans="1:1" x14ac:dyDescent="0.2">
      <c r="A530" s="366"/>
    </row>
    <row r="531" spans="1:1" x14ac:dyDescent="0.2">
      <c r="A531" s="366"/>
    </row>
    <row r="532" spans="1:1" x14ac:dyDescent="0.2">
      <c r="A532" s="366"/>
    </row>
    <row r="533" spans="1:1" x14ac:dyDescent="0.2">
      <c r="A533" s="366"/>
    </row>
    <row r="534" spans="1:1" x14ac:dyDescent="0.2">
      <c r="A534" s="366"/>
    </row>
    <row r="535" spans="1:1" x14ac:dyDescent="0.2">
      <c r="A535" s="366"/>
    </row>
    <row r="536" spans="1:1" x14ac:dyDescent="0.2">
      <c r="A536" s="366"/>
    </row>
    <row r="537" spans="1:1" x14ac:dyDescent="0.2">
      <c r="A537" s="366"/>
    </row>
    <row r="538" spans="1:1" x14ac:dyDescent="0.2">
      <c r="A538" s="366"/>
    </row>
    <row r="539" spans="1:1" x14ac:dyDescent="0.2">
      <c r="A539" s="366"/>
    </row>
    <row r="540" spans="1:1" x14ac:dyDescent="0.2">
      <c r="A540" s="366"/>
    </row>
    <row r="541" spans="1:1" x14ac:dyDescent="0.2">
      <c r="A541" s="366"/>
    </row>
    <row r="542" spans="1:1" x14ac:dyDescent="0.2">
      <c r="A542" s="366"/>
    </row>
    <row r="543" spans="1:1" x14ac:dyDescent="0.2">
      <c r="A543" s="366"/>
    </row>
    <row r="544" spans="1:1" x14ac:dyDescent="0.2">
      <c r="A544" s="366"/>
    </row>
    <row r="545" spans="1:1" x14ac:dyDescent="0.2">
      <c r="A545" s="366"/>
    </row>
    <row r="546" spans="1:1" x14ac:dyDescent="0.2">
      <c r="A546" s="366"/>
    </row>
    <row r="547" spans="1:1" x14ac:dyDescent="0.2">
      <c r="A547" s="366"/>
    </row>
    <row r="548" spans="1:1" x14ac:dyDescent="0.2">
      <c r="A548" s="366"/>
    </row>
    <row r="549" spans="1:1" x14ac:dyDescent="0.2">
      <c r="A549" s="366"/>
    </row>
    <row r="550" spans="1:1" x14ac:dyDescent="0.2">
      <c r="A550" s="366"/>
    </row>
    <row r="551" spans="1:1" x14ac:dyDescent="0.2">
      <c r="A551" s="366"/>
    </row>
    <row r="552" spans="1:1" x14ac:dyDescent="0.2">
      <c r="A552" s="366"/>
    </row>
    <row r="553" spans="1:1" x14ac:dyDescent="0.2">
      <c r="A553" s="366"/>
    </row>
    <row r="554" spans="1:1" x14ac:dyDescent="0.2">
      <c r="A554" s="366"/>
    </row>
    <row r="555" spans="1:1" x14ac:dyDescent="0.2">
      <c r="A555" s="366"/>
    </row>
    <row r="556" spans="1:1" x14ac:dyDescent="0.2">
      <c r="A556" s="366"/>
    </row>
    <row r="557" spans="1:1" x14ac:dyDescent="0.2">
      <c r="A557" s="366"/>
    </row>
    <row r="558" spans="1:1" x14ac:dyDescent="0.2">
      <c r="A558" s="366"/>
    </row>
    <row r="559" spans="1:1" x14ac:dyDescent="0.2">
      <c r="A559" s="366"/>
    </row>
    <row r="560" spans="1:1" x14ac:dyDescent="0.2">
      <c r="A560" s="366"/>
    </row>
    <row r="561" spans="1:1" x14ac:dyDescent="0.2">
      <c r="A561" s="366"/>
    </row>
    <row r="562" spans="1:1" x14ac:dyDescent="0.2">
      <c r="A562" s="366"/>
    </row>
    <row r="563" spans="1:1" x14ac:dyDescent="0.2">
      <c r="A563" s="366"/>
    </row>
    <row r="564" spans="1:1" x14ac:dyDescent="0.2">
      <c r="A564" s="366"/>
    </row>
    <row r="565" spans="1:1" x14ac:dyDescent="0.2">
      <c r="A565" s="366"/>
    </row>
    <row r="566" spans="1:1" x14ac:dyDescent="0.2">
      <c r="A566" s="366"/>
    </row>
    <row r="567" spans="1:1" x14ac:dyDescent="0.2">
      <c r="A567" s="366"/>
    </row>
    <row r="568" spans="1:1" x14ac:dyDescent="0.2">
      <c r="A568" s="366"/>
    </row>
    <row r="569" spans="1:1" x14ac:dyDescent="0.2">
      <c r="A569" s="366"/>
    </row>
    <row r="570" spans="1:1" x14ac:dyDescent="0.2">
      <c r="A570" s="366"/>
    </row>
    <row r="571" spans="1:1" x14ac:dyDescent="0.2">
      <c r="A571" s="366"/>
    </row>
    <row r="572" spans="1:1" x14ac:dyDescent="0.2">
      <c r="A572" s="366"/>
    </row>
    <row r="573" spans="1:1" x14ac:dyDescent="0.2">
      <c r="A573" s="366"/>
    </row>
    <row r="574" spans="1:1" x14ac:dyDescent="0.2">
      <c r="A574" s="366"/>
    </row>
    <row r="575" spans="1:1" x14ac:dyDescent="0.2">
      <c r="A575" s="366"/>
    </row>
    <row r="576" spans="1:1" x14ac:dyDescent="0.2">
      <c r="A576" s="366"/>
    </row>
    <row r="577" spans="1:1" x14ac:dyDescent="0.2">
      <c r="A577" s="366"/>
    </row>
    <row r="578" spans="1:1" x14ac:dyDescent="0.2">
      <c r="A578" s="366"/>
    </row>
    <row r="579" spans="1:1" x14ac:dyDescent="0.2">
      <c r="A579" s="366"/>
    </row>
    <row r="580" spans="1:1" x14ac:dyDescent="0.2">
      <c r="A580" s="366"/>
    </row>
    <row r="581" spans="1:1" x14ac:dyDescent="0.2">
      <c r="A581" s="366"/>
    </row>
    <row r="582" spans="1:1" x14ac:dyDescent="0.2">
      <c r="A582" s="366"/>
    </row>
    <row r="583" spans="1:1" x14ac:dyDescent="0.2">
      <c r="A583" s="366"/>
    </row>
    <row r="584" spans="1:1" x14ac:dyDescent="0.2">
      <c r="A584" s="366"/>
    </row>
    <row r="585" spans="1:1" x14ac:dyDescent="0.2">
      <c r="A585" s="366"/>
    </row>
    <row r="586" spans="1:1" x14ac:dyDescent="0.2">
      <c r="A586" s="366"/>
    </row>
    <row r="587" spans="1:1" x14ac:dyDescent="0.2">
      <c r="A587" s="366"/>
    </row>
    <row r="588" spans="1:1" x14ac:dyDescent="0.2">
      <c r="A588" s="366"/>
    </row>
    <row r="589" spans="1:1" x14ac:dyDescent="0.2">
      <c r="A589" s="366"/>
    </row>
    <row r="590" spans="1:1" x14ac:dyDescent="0.2">
      <c r="A590" s="366"/>
    </row>
    <row r="591" spans="1:1" x14ac:dyDescent="0.2">
      <c r="A591" s="366"/>
    </row>
    <row r="592" spans="1:1" x14ac:dyDescent="0.2">
      <c r="A592" s="366"/>
    </row>
    <row r="593" spans="1:1" x14ac:dyDescent="0.2">
      <c r="A593" s="366"/>
    </row>
    <row r="594" spans="1:1" x14ac:dyDescent="0.2">
      <c r="A594" s="366"/>
    </row>
    <row r="595" spans="1:1" x14ac:dyDescent="0.2">
      <c r="A595" s="366"/>
    </row>
    <row r="596" spans="1:1" x14ac:dyDescent="0.2">
      <c r="A596" s="366"/>
    </row>
    <row r="597" spans="1:1" x14ac:dyDescent="0.2">
      <c r="A597" s="366"/>
    </row>
    <row r="598" spans="1:1" x14ac:dyDescent="0.2">
      <c r="A598" s="366"/>
    </row>
    <row r="599" spans="1:1" x14ac:dyDescent="0.2">
      <c r="A599" s="366"/>
    </row>
    <row r="600" spans="1:1" x14ac:dyDescent="0.2">
      <c r="A600" s="366"/>
    </row>
    <row r="601" spans="1:1" x14ac:dyDescent="0.2">
      <c r="A601" s="366"/>
    </row>
    <row r="602" spans="1:1" x14ac:dyDescent="0.2">
      <c r="A602" s="366"/>
    </row>
    <row r="603" spans="1:1" x14ac:dyDescent="0.2">
      <c r="A603" s="366"/>
    </row>
    <row r="604" spans="1:1" x14ac:dyDescent="0.2">
      <c r="A604" s="366"/>
    </row>
    <row r="605" spans="1:1" x14ac:dyDescent="0.2">
      <c r="A605" s="366"/>
    </row>
    <row r="606" spans="1:1" x14ac:dyDescent="0.2">
      <c r="A606" s="366"/>
    </row>
    <row r="607" spans="1:1" x14ac:dyDescent="0.2">
      <c r="A607" s="366"/>
    </row>
    <row r="608" spans="1:1" x14ac:dyDescent="0.2">
      <c r="A608" s="366"/>
    </row>
    <row r="609" spans="1:1" x14ac:dyDescent="0.2">
      <c r="A609" s="366"/>
    </row>
    <row r="610" spans="1:1" x14ac:dyDescent="0.2">
      <c r="A610" s="366"/>
    </row>
    <row r="611" spans="1:1" x14ac:dyDescent="0.2">
      <c r="A611" s="366"/>
    </row>
    <row r="612" spans="1:1" x14ac:dyDescent="0.2">
      <c r="A612" s="366"/>
    </row>
    <row r="613" spans="1:1" x14ac:dyDescent="0.2">
      <c r="A613" s="366"/>
    </row>
    <row r="614" spans="1:1" x14ac:dyDescent="0.2">
      <c r="A614" s="366"/>
    </row>
    <row r="615" spans="1:1" x14ac:dyDescent="0.2">
      <c r="A615" s="366"/>
    </row>
    <row r="616" spans="1:1" x14ac:dyDescent="0.2">
      <c r="A616" s="366"/>
    </row>
    <row r="617" spans="1:1" x14ac:dyDescent="0.2">
      <c r="A617" s="366"/>
    </row>
    <row r="618" spans="1:1" x14ac:dyDescent="0.2">
      <c r="A618" s="366"/>
    </row>
    <row r="619" spans="1:1" x14ac:dyDescent="0.2">
      <c r="A619" s="366"/>
    </row>
    <row r="620" spans="1:1" x14ac:dyDescent="0.2">
      <c r="A620" s="366"/>
    </row>
    <row r="621" spans="1:1" x14ac:dyDescent="0.2">
      <c r="A621" s="366"/>
    </row>
    <row r="622" spans="1:1" x14ac:dyDescent="0.2">
      <c r="A622" s="366"/>
    </row>
    <row r="623" spans="1:1" x14ac:dyDescent="0.2">
      <c r="A623" s="366"/>
    </row>
    <row r="624" spans="1:1" x14ac:dyDescent="0.2">
      <c r="A624" s="366"/>
    </row>
    <row r="625" spans="1:1" x14ac:dyDescent="0.2">
      <c r="A625" s="366"/>
    </row>
    <row r="626" spans="1:1" x14ac:dyDescent="0.2">
      <c r="A626" s="366"/>
    </row>
    <row r="627" spans="1:1" x14ac:dyDescent="0.2">
      <c r="A627" s="366"/>
    </row>
    <row r="628" spans="1:1" x14ac:dyDescent="0.2">
      <c r="A628" s="366"/>
    </row>
    <row r="629" spans="1:1" x14ac:dyDescent="0.2">
      <c r="A629" s="366"/>
    </row>
    <row r="630" spans="1:1" x14ac:dyDescent="0.2">
      <c r="A630" s="366"/>
    </row>
    <row r="631" spans="1:1" x14ac:dyDescent="0.2">
      <c r="A631" s="366"/>
    </row>
    <row r="632" spans="1:1" x14ac:dyDescent="0.2">
      <c r="A632" s="366"/>
    </row>
    <row r="633" spans="1:1" x14ac:dyDescent="0.2">
      <c r="A633" s="366"/>
    </row>
    <row r="634" spans="1:1" x14ac:dyDescent="0.2">
      <c r="A634" s="366"/>
    </row>
    <row r="635" spans="1:1" x14ac:dyDescent="0.2">
      <c r="A635" s="366"/>
    </row>
    <row r="636" spans="1:1" x14ac:dyDescent="0.2">
      <c r="A636" s="366"/>
    </row>
    <row r="637" spans="1:1" x14ac:dyDescent="0.2">
      <c r="A637" s="366"/>
    </row>
    <row r="638" spans="1:1" x14ac:dyDescent="0.2">
      <c r="A638" s="366"/>
    </row>
    <row r="639" spans="1:1" x14ac:dyDescent="0.2">
      <c r="A639" s="366"/>
    </row>
    <row r="640" spans="1:1" x14ac:dyDescent="0.2">
      <c r="A640" s="366"/>
    </row>
    <row r="641" spans="1:1" x14ac:dyDescent="0.2">
      <c r="A641" s="366"/>
    </row>
    <row r="642" spans="1:1" x14ac:dyDescent="0.2">
      <c r="A642" s="366"/>
    </row>
    <row r="643" spans="1:1" x14ac:dyDescent="0.2">
      <c r="A643" s="366"/>
    </row>
    <row r="644" spans="1:1" x14ac:dyDescent="0.2">
      <c r="A644" s="366"/>
    </row>
    <row r="645" spans="1:1" x14ac:dyDescent="0.2">
      <c r="A645" s="366"/>
    </row>
    <row r="646" spans="1:1" x14ac:dyDescent="0.2">
      <c r="A646" s="366"/>
    </row>
    <row r="647" spans="1:1" x14ac:dyDescent="0.2">
      <c r="A647" s="366"/>
    </row>
    <row r="648" spans="1:1" x14ac:dyDescent="0.2">
      <c r="A648" s="366"/>
    </row>
    <row r="649" spans="1:1" x14ac:dyDescent="0.2">
      <c r="A649" s="366"/>
    </row>
    <row r="650" spans="1:1" x14ac:dyDescent="0.2">
      <c r="A650" s="366"/>
    </row>
    <row r="651" spans="1:1" x14ac:dyDescent="0.2">
      <c r="A651" s="366"/>
    </row>
    <row r="652" spans="1:1" x14ac:dyDescent="0.2">
      <c r="A652" s="366"/>
    </row>
    <row r="653" spans="1:1" x14ac:dyDescent="0.2">
      <c r="A653" s="366"/>
    </row>
    <row r="654" spans="1:1" x14ac:dyDescent="0.2">
      <c r="A654" s="366"/>
    </row>
    <row r="655" spans="1:1" x14ac:dyDescent="0.2">
      <c r="A655" s="366"/>
    </row>
    <row r="656" spans="1:1" x14ac:dyDescent="0.2">
      <c r="A656" s="366"/>
    </row>
    <row r="657" spans="1:1" x14ac:dyDescent="0.2">
      <c r="A657" s="366"/>
    </row>
    <row r="658" spans="1:1" x14ac:dyDescent="0.2">
      <c r="A658" s="366"/>
    </row>
    <row r="659" spans="1:1" x14ac:dyDescent="0.2">
      <c r="A659" s="366"/>
    </row>
    <row r="660" spans="1:1" x14ac:dyDescent="0.2">
      <c r="A660" s="366"/>
    </row>
    <row r="661" spans="1:1" x14ac:dyDescent="0.2">
      <c r="A661" s="366"/>
    </row>
    <row r="662" spans="1:1" x14ac:dyDescent="0.2">
      <c r="A662" s="366"/>
    </row>
    <row r="663" spans="1:1" x14ac:dyDescent="0.2">
      <c r="A663" s="366"/>
    </row>
    <row r="664" spans="1:1" x14ac:dyDescent="0.2">
      <c r="A664" s="366"/>
    </row>
    <row r="665" spans="1:1" x14ac:dyDescent="0.2">
      <c r="A665" s="366"/>
    </row>
    <row r="666" spans="1:1" x14ac:dyDescent="0.2">
      <c r="A666" s="366"/>
    </row>
    <row r="667" spans="1:1" x14ac:dyDescent="0.2">
      <c r="A667" s="366"/>
    </row>
    <row r="668" spans="1:1" x14ac:dyDescent="0.2">
      <c r="A668" s="366"/>
    </row>
    <row r="669" spans="1:1" x14ac:dyDescent="0.2">
      <c r="A669" s="366"/>
    </row>
    <row r="670" spans="1:1" x14ac:dyDescent="0.2">
      <c r="A670" s="366"/>
    </row>
    <row r="671" spans="1:1" x14ac:dyDescent="0.2">
      <c r="A671" s="366"/>
    </row>
    <row r="672" spans="1:1" x14ac:dyDescent="0.2">
      <c r="A672" s="366"/>
    </row>
    <row r="673" spans="1:1" x14ac:dyDescent="0.2">
      <c r="A673" s="366"/>
    </row>
    <row r="674" spans="1:1" x14ac:dyDescent="0.2">
      <c r="A674" s="366"/>
    </row>
    <row r="675" spans="1:1" x14ac:dyDescent="0.2">
      <c r="A675" s="366"/>
    </row>
    <row r="676" spans="1:1" x14ac:dyDescent="0.2">
      <c r="A676" s="366"/>
    </row>
    <row r="677" spans="1:1" x14ac:dyDescent="0.2">
      <c r="A677" s="366"/>
    </row>
    <row r="678" spans="1:1" x14ac:dyDescent="0.2">
      <c r="A678" s="366"/>
    </row>
    <row r="679" spans="1:1" x14ac:dyDescent="0.2">
      <c r="A679" s="366"/>
    </row>
    <row r="680" spans="1:1" x14ac:dyDescent="0.2">
      <c r="A680" s="366"/>
    </row>
    <row r="681" spans="1:1" x14ac:dyDescent="0.2">
      <c r="A681" s="366"/>
    </row>
    <row r="682" spans="1:1" x14ac:dyDescent="0.2">
      <c r="A682" s="366"/>
    </row>
    <row r="683" spans="1:1" x14ac:dyDescent="0.2">
      <c r="A683" s="366"/>
    </row>
    <row r="684" spans="1:1" x14ac:dyDescent="0.2">
      <c r="A684" s="366"/>
    </row>
    <row r="685" spans="1:1" x14ac:dyDescent="0.2">
      <c r="A685" s="366"/>
    </row>
    <row r="686" spans="1:1" x14ac:dyDescent="0.2">
      <c r="A686" s="366"/>
    </row>
    <row r="687" spans="1:1" x14ac:dyDescent="0.2">
      <c r="A687" s="366"/>
    </row>
    <row r="688" spans="1:1" x14ac:dyDescent="0.2">
      <c r="A688" s="366"/>
    </row>
    <row r="689" spans="1:1" x14ac:dyDescent="0.2">
      <c r="A689" s="366"/>
    </row>
    <row r="690" spans="1:1" x14ac:dyDescent="0.2">
      <c r="A690" s="366"/>
    </row>
    <row r="691" spans="1:1" x14ac:dyDescent="0.2">
      <c r="A691" s="366"/>
    </row>
    <row r="692" spans="1:1" x14ac:dyDescent="0.2">
      <c r="A692" s="366"/>
    </row>
    <row r="693" spans="1:1" x14ac:dyDescent="0.2">
      <c r="A693" s="366"/>
    </row>
    <row r="694" spans="1:1" x14ac:dyDescent="0.2">
      <c r="A694" s="366"/>
    </row>
    <row r="695" spans="1:1" x14ac:dyDescent="0.2">
      <c r="A695" s="366"/>
    </row>
    <row r="696" spans="1:1" x14ac:dyDescent="0.2">
      <c r="A696" s="366"/>
    </row>
    <row r="697" spans="1:1" x14ac:dyDescent="0.2">
      <c r="A697" s="366"/>
    </row>
    <row r="698" spans="1:1" x14ac:dyDescent="0.2">
      <c r="A698" s="366"/>
    </row>
    <row r="699" spans="1:1" x14ac:dyDescent="0.2">
      <c r="A699" s="366"/>
    </row>
    <row r="700" spans="1:1" x14ac:dyDescent="0.2">
      <c r="A700" s="366"/>
    </row>
    <row r="701" spans="1:1" x14ac:dyDescent="0.2">
      <c r="A701" s="366"/>
    </row>
    <row r="702" spans="1:1" x14ac:dyDescent="0.2">
      <c r="A702" s="366"/>
    </row>
    <row r="703" spans="1:1" x14ac:dyDescent="0.2">
      <c r="A703" s="366"/>
    </row>
    <row r="704" spans="1:1" x14ac:dyDescent="0.2">
      <c r="A704" s="366"/>
    </row>
    <row r="705" spans="1:1" x14ac:dyDescent="0.2">
      <c r="A705" s="366"/>
    </row>
    <row r="706" spans="1:1" x14ac:dyDescent="0.2">
      <c r="A706" s="366"/>
    </row>
    <row r="707" spans="1:1" x14ac:dyDescent="0.2">
      <c r="A707" s="366"/>
    </row>
    <row r="708" spans="1:1" x14ac:dyDescent="0.2">
      <c r="A708" s="366"/>
    </row>
    <row r="709" spans="1:1" x14ac:dyDescent="0.2">
      <c r="A709" s="366"/>
    </row>
    <row r="710" spans="1:1" x14ac:dyDescent="0.2">
      <c r="A710" s="366"/>
    </row>
    <row r="711" spans="1:1" x14ac:dyDescent="0.2">
      <c r="A711" s="366"/>
    </row>
    <row r="712" spans="1:1" x14ac:dyDescent="0.2">
      <c r="A712" s="366"/>
    </row>
    <row r="713" spans="1:1" x14ac:dyDescent="0.2">
      <c r="A713" s="366"/>
    </row>
    <row r="714" spans="1:1" x14ac:dyDescent="0.2">
      <c r="A714" s="366"/>
    </row>
    <row r="715" spans="1:1" x14ac:dyDescent="0.2">
      <c r="A715" s="366"/>
    </row>
    <row r="716" spans="1:1" x14ac:dyDescent="0.2">
      <c r="A716" s="366"/>
    </row>
    <row r="717" spans="1:1" x14ac:dyDescent="0.2">
      <c r="A717" s="366"/>
    </row>
    <row r="718" spans="1:1" x14ac:dyDescent="0.2">
      <c r="A718" s="366"/>
    </row>
    <row r="719" spans="1:1" x14ac:dyDescent="0.2">
      <c r="A719" s="366"/>
    </row>
    <row r="720" spans="1:1" x14ac:dyDescent="0.2">
      <c r="A720" s="366"/>
    </row>
    <row r="721" spans="1:1" x14ac:dyDescent="0.2">
      <c r="A721" s="366"/>
    </row>
    <row r="722" spans="1:1" x14ac:dyDescent="0.2">
      <c r="A722" s="366"/>
    </row>
    <row r="723" spans="1:1" x14ac:dyDescent="0.2">
      <c r="A723" s="366"/>
    </row>
    <row r="724" spans="1:1" x14ac:dyDescent="0.2">
      <c r="A724" s="366"/>
    </row>
    <row r="725" spans="1:1" x14ac:dyDescent="0.2">
      <c r="A725" s="366"/>
    </row>
    <row r="726" spans="1:1" x14ac:dyDescent="0.2">
      <c r="A726" s="366"/>
    </row>
    <row r="727" spans="1:1" x14ac:dyDescent="0.2">
      <c r="A727" s="366"/>
    </row>
    <row r="728" spans="1:1" x14ac:dyDescent="0.2">
      <c r="A728" s="366"/>
    </row>
    <row r="729" spans="1:1" x14ac:dyDescent="0.2">
      <c r="A729" s="366"/>
    </row>
    <row r="730" spans="1:1" x14ac:dyDescent="0.2">
      <c r="A730" s="366"/>
    </row>
    <row r="731" spans="1:1" x14ac:dyDescent="0.2">
      <c r="A731" s="366"/>
    </row>
    <row r="732" spans="1:1" x14ac:dyDescent="0.2">
      <c r="A732" s="366"/>
    </row>
    <row r="733" spans="1:1" x14ac:dyDescent="0.2">
      <c r="A733" s="366"/>
    </row>
    <row r="734" spans="1:1" x14ac:dyDescent="0.2">
      <c r="A734" s="366"/>
    </row>
    <row r="735" spans="1:1" x14ac:dyDescent="0.2">
      <c r="A735" s="366"/>
    </row>
    <row r="736" spans="1:1" x14ac:dyDescent="0.2">
      <c r="A736" s="366"/>
    </row>
    <row r="737" spans="1:1" x14ac:dyDescent="0.2">
      <c r="A737" s="366"/>
    </row>
    <row r="738" spans="1:1" x14ac:dyDescent="0.2">
      <c r="A738" s="366"/>
    </row>
    <row r="739" spans="1:1" x14ac:dyDescent="0.2">
      <c r="A739" s="366"/>
    </row>
    <row r="740" spans="1:1" x14ac:dyDescent="0.2">
      <c r="A740" s="366"/>
    </row>
    <row r="741" spans="1:1" x14ac:dyDescent="0.2">
      <c r="A741" s="366"/>
    </row>
    <row r="742" spans="1:1" x14ac:dyDescent="0.2">
      <c r="A742" s="366"/>
    </row>
    <row r="743" spans="1:1" x14ac:dyDescent="0.2">
      <c r="A743" s="366"/>
    </row>
    <row r="744" spans="1:1" x14ac:dyDescent="0.2">
      <c r="A744" s="366"/>
    </row>
    <row r="745" spans="1:1" x14ac:dyDescent="0.2">
      <c r="A745" s="366"/>
    </row>
    <row r="746" spans="1:1" x14ac:dyDescent="0.2">
      <c r="A746" s="366"/>
    </row>
    <row r="747" spans="1:1" x14ac:dyDescent="0.2">
      <c r="A747" s="366"/>
    </row>
    <row r="748" spans="1:1" x14ac:dyDescent="0.2">
      <c r="A748" s="366"/>
    </row>
    <row r="749" spans="1:1" x14ac:dyDescent="0.2">
      <c r="A749" s="366"/>
    </row>
    <row r="750" spans="1:1" x14ac:dyDescent="0.2">
      <c r="A750" s="366"/>
    </row>
    <row r="751" spans="1:1" x14ac:dyDescent="0.2">
      <c r="A751" s="366"/>
    </row>
    <row r="752" spans="1:1" x14ac:dyDescent="0.2">
      <c r="A752" s="366"/>
    </row>
    <row r="753" spans="1:1" x14ac:dyDescent="0.2">
      <c r="A753" s="366"/>
    </row>
    <row r="754" spans="1:1" x14ac:dyDescent="0.2">
      <c r="A754" s="366"/>
    </row>
    <row r="755" spans="1:1" x14ac:dyDescent="0.2">
      <c r="A755" s="366"/>
    </row>
    <row r="756" spans="1:1" x14ac:dyDescent="0.2">
      <c r="A756" s="366"/>
    </row>
    <row r="757" spans="1:1" x14ac:dyDescent="0.2">
      <c r="A757" s="366"/>
    </row>
    <row r="758" spans="1:1" x14ac:dyDescent="0.2">
      <c r="A758" s="366"/>
    </row>
    <row r="759" spans="1:1" x14ac:dyDescent="0.2">
      <c r="A759" s="366"/>
    </row>
    <row r="760" spans="1:1" x14ac:dyDescent="0.2">
      <c r="A760" s="366"/>
    </row>
    <row r="761" spans="1:1" x14ac:dyDescent="0.2">
      <c r="A761" s="366"/>
    </row>
    <row r="762" spans="1:1" x14ac:dyDescent="0.2">
      <c r="A762" s="366"/>
    </row>
    <row r="763" spans="1:1" x14ac:dyDescent="0.2">
      <c r="A763" s="366"/>
    </row>
    <row r="764" spans="1:1" x14ac:dyDescent="0.2">
      <c r="A764" s="366"/>
    </row>
    <row r="765" spans="1:1" x14ac:dyDescent="0.2">
      <c r="A765" s="366"/>
    </row>
    <row r="766" spans="1:1" x14ac:dyDescent="0.2">
      <c r="A766" s="366"/>
    </row>
    <row r="767" spans="1:1" x14ac:dyDescent="0.2">
      <c r="A767" s="366"/>
    </row>
    <row r="768" spans="1:1" x14ac:dyDescent="0.2">
      <c r="A768" s="366"/>
    </row>
    <row r="769" spans="1:1" x14ac:dyDescent="0.2">
      <c r="A769" s="366"/>
    </row>
    <row r="770" spans="1:1" x14ac:dyDescent="0.2">
      <c r="A770" s="366"/>
    </row>
    <row r="771" spans="1:1" x14ac:dyDescent="0.2">
      <c r="A771" s="366"/>
    </row>
    <row r="772" spans="1:1" x14ac:dyDescent="0.2">
      <c r="A772" s="366"/>
    </row>
    <row r="773" spans="1:1" x14ac:dyDescent="0.2">
      <c r="A773" s="366"/>
    </row>
    <row r="774" spans="1:1" x14ac:dyDescent="0.2">
      <c r="A774" s="366"/>
    </row>
    <row r="775" spans="1:1" x14ac:dyDescent="0.2">
      <c r="A775" s="366"/>
    </row>
    <row r="776" spans="1:1" x14ac:dyDescent="0.2">
      <c r="A776" s="366"/>
    </row>
    <row r="777" spans="1:1" x14ac:dyDescent="0.2">
      <c r="A777" s="366"/>
    </row>
    <row r="778" spans="1:1" x14ac:dyDescent="0.2">
      <c r="A778" s="366"/>
    </row>
    <row r="779" spans="1:1" x14ac:dyDescent="0.2">
      <c r="A779" s="366"/>
    </row>
    <row r="780" spans="1:1" x14ac:dyDescent="0.2">
      <c r="A780" s="366"/>
    </row>
    <row r="781" spans="1:1" x14ac:dyDescent="0.2">
      <c r="A781" s="366"/>
    </row>
    <row r="782" spans="1:1" x14ac:dyDescent="0.2">
      <c r="A782" s="366"/>
    </row>
    <row r="783" spans="1:1" x14ac:dyDescent="0.2">
      <c r="A783" s="366"/>
    </row>
    <row r="784" spans="1:1" x14ac:dyDescent="0.2">
      <c r="A784" s="366"/>
    </row>
    <row r="785" spans="1:1" x14ac:dyDescent="0.2">
      <c r="A785" s="366"/>
    </row>
    <row r="786" spans="1:1" x14ac:dyDescent="0.2">
      <c r="A786" s="366"/>
    </row>
    <row r="787" spans="1:1" x14ac:dyDescent="0.2">
      <c r="A787" s="366"/>
    </row>
    <row r="788" spans="1:1" x14ac:dyDescent="0.2">
      <c r="A788" s="366"/>
    </row>
    <row r="789" spans="1:1" x14ac:dyDescent="0.2">
      <c r="A789" s="366"/>
    </row>
    <row r="790" spans="1:1" x14ac:dyDescent="0.2">
      <c r="A790" s="366"/>
    </row>
    <row r="791" spans="1:1" x14ac:dyDescent="0.2">
      <c r="A791" s="366"/>
    </row>
    <row r="792" spans="1:1" x14ac:dyDescent="0.2">
      <c r="A792" s="366"/>
    </row>
    <row r="793" spans="1:1" x14ac:dyDescent="0.2">
      <c r="A793" s="366"/>
    </row>
    <row r="794" spans="1:1" x14ac:dyDescent="0.2">
      <c r="A794" s="366"/>
    </row>
    <row r="795" spans="1:1" x14ac:dyDescent="0.2">
      <c r="A795" s="366"/>
    </row>
    <row r="796" spans="1:1" x14ac:dyDescent="0.2">
      <c r="A796" s="366"/>
    </row>
    <row r="797" spans="1:1" x14ac:dyDescent="0.2">
      <c r="A797" s="366"/>
    </row>
    <row r="798" spans="1:1" x14ac:dyDescent="0.2">
      <c r="A798" s="366"/>
    </row>
    <row r="799" spans="1:1" x14ac:dyDescent="0.2">
      <c r="A799" s="366"/>
    </row>
    <row r="800" spans="1:1" x14ac:dyDescent="0.2">
      <c r="A800" s="366"/>
    </row>
    <row r="801" spans="1:1" x14ac:dyDescent="0.2">
      <c r="A801" s="366"/>
    </row>
    <row r="802" spans="1:1" x14ac:dyDescent="0.2">
      <c r="A802" s="366"/>
    </row>
    <row r="803" spans="1:1" x14ac:dyDescent="0.2">
      <c r="A803" s="366"/>
    </row>
    <row r="804" spans="1:1" x14ac:dyDescent="0.2">
      <c r="A804" s="366"/>
    </row>
    <row r="805" spans="1:1" x14ac:dyDescent="0.2">
      <c r="A805" s="366"/>
    </row>
    <row r="806" spans="1:1" x14ac:dyDescent="0.2">
      <c r="A806" s="366"/>
    </row>
    <row r="807" spans="1:1" x14ac:dyDescent="0.2">
      <c r="A807" s="366"/>
    </row>
    <row r="808" spans="1:1" x14ac:dyDescent="0.2">
      <c r="A808" s="366"/>
    </row>
    <row r="809" spans="1:1" x14ac:dyDescent="0.2">
      <c r="A809" s="366"/>
    </row>
    <row r="810" spans="1:1" x14ac:dyDescent="0.2">
      <c r="A810" s="366"/>
    </row>
    <row r="811" spans="1:1" x14ac:dyDescent="0.2">
      <c r="A811" s="366"/>
    </row>
    <row r="812" spans="1:1" x14ac:dyDescent="0.2">
      <c r="A812" s="366"/>
    </row>
    <row r="813" spans="1:1" x14ac:dyDescent="0.2">
      <c r="A813" s="366"/>
    </row>
    <row r="814" spans="1:1" x14ac:dyDescent="0.2">
      <c r="A814" s="366"/>
    </row>
    <row r="815" spans="1:1" x14ac:dyDescent="0.2">
      <c r="A815" s="366"/>
    </row>
    <row r="816" spans="1:1" x14ac:dyDescent="0.2">
      <c r="A816" s="366"/>
    </row>
    <row r="817" spans="1:1" x14ac:dyDescent="0.2">
      <c r="A817" s="366"/>
    </row>
    <row r="818" spans="1:1" x14ac:dyDescent="0.2">
      <c r="A818" s="366"/>
    </row>
    <row r="819" spans="1:1" x14ac:dyDescent="0.2">
      <c r="A819" s="366"/>
    </row>
    <row r="820" spans="1:1" x14ac:dyDescent="0.2">
      <c r="A820" s="366"/>
    </row>
    <row r="821" spans="1:1" x14ac:dyDescent="0.2">
      <c r="A821" s="366"/>
    </row>
    <row r="822" spans="1:1" x14ac:dyDescent="0.2">
      <c r="A822" s="366"/>
    </row>
    <row r="823" spans="1:1" x14ac:dyDescent="0.2">
      <c r="A823" s="366"/>
    </row>
    <row r="824" spans="1:1" x14ac:dyDescent="0.2">
      <c r="A824" s="366"/>
    </row>
    <row r="825" spans="1:1" x14ac:dyDescent="0.2">
      <c r="A825" s="366"/>
    </row>
    <row r="826" spans="1:1" x14ac:dyDescent="0.2">
      <c r="A826" s="366"/>
    </row>
    <row r="827" spans="1:1" x14ac:dyDescent="0.2">
      <c r="A827" s="366"/>
    </row>
    <row r="828" spans="1:1" x14ac:dyDescent="0.2">
      <c r="A828" s="366"/>
    </row>
    <row r="829" spans="1:1" x14ac:dyDescent="0.2">
      <c r="A829" s="366"/>
    </row>
    <row r="830" spans="1:1" x14ac:dyDescent="0.2">
      <c r="A830" s="366"/>
    </row>
    <row r="831" spans="1:1" x14ac:dyDescent="0.2">
      <c r="A831" s="366"/>
    </row>
    <row r="832" spans="1:1" x14ac:dyDescent="0.2">
      <c r="A832" s="366"/>
    </row>
    <row r="833" spans="1:1" x14ac:dyDescent="0.2">
      <c r="A833" s="366"/>
    </row>
    <row r="834" spans="1:1" x14ac:dyDescent="0.2">
      <c r="A834" s="366"/>
    </row>
    <row r="835" spans="1:1" x14ac:dyDescent="0.2">
      <c r="A835" s="366"/>
    </row>
    <row r="836" spans="1:1" x14ac:dyDescent="0.2">
      <c r="A836" s="366"/>
    </row>
    <row r="837" spans="1:1" x14ac:dyDescent="0.2">
      <c r="A837" s="366"/>
    </row>
    <row r="838" spans="1:1" x14ac:dyDescent="0.2">
      <c r="A838" s="366"/>
    </row>
    <row r="839" spans="1:1" x14ac:dyDescent="0.2">
      <c r="A839" s="366"/>
    </row>
    <row r="840" spans="1:1" x14ac:dyDescent="0.2">
      <c r="A840" s="366"/>
    </row>
    <row r="841" spans="1:1" x14ac:dyDescent="0.2">
      <c r="A841" s="366"/>
    </row>
    <row r="842" spans="1:1" x14ac:dyDescent="0.2">
      <c r="A842" s="366"/>
    </row>
    <row r="843" spans="1:1" x14ac:dyDescent="0.2">
      <c r="A843" s="366"/>
    </row>
    <row r="844" spans="1:1" x14ac:dyDescent="0.2">
      <c r="A844" s="366"/>
    </row>
    <row r="845" spans="1:1" x14ac:dyDescent="0.2">
      <c r="A845" s="366"/>
    </row>
    <row r="846" spans="1:1" x14ac:dyDescent="0.2">
      <c r="A846" s="366"/>
    </row>
    <row r="847" spans="1:1" x14ac:dyDescent="0.2">
      <c r="A847" s="366"/>
    </row>
    <row r="848" spans="1:1" x14ac:dyDescent="0.2">
      <c r="A848" s="366"/>
    </row>
    <row r="849" spans="1:1" x14ac:dyDescent="0.2">
      <c r="A849" s="366"/>
    </row>
    <row r="850" spans="1:1" x14ac:dyDescent="0.2">
      <c r="A850" s="366"/>
    </row>
    <row r="851" spans="1:1" x14ac:dyDescent="0.2">
      <c r="A851" s="366"/>
    </row>
    <row r="852" spans="1:1" x14ac:dyDescent="0.2">
      <c r="A852" s="366"/>
    </row>
    <row r="853" spans="1:1" x14ac:dyDescent="0.2">
      <c r="A853" s="366"/>
    </row>
    <row r="854" spans="1:1" x14ac:dyDescent="0.2">
      <c r="A854" s="366"/>
    </row>
    <row r="855" spans="1:1" x14ac:dyDescent="0.2">
      <c r="A855" s="366"/>
    </row>
    <row r="856" spans="1:1" x14ac:dyDescent="0.2">
      <c r="A856" s="366"/>
    </row>
    <row r="857" spans="1:1" x14ac:dyDescent="0.2">
      <c r="A857" s="366"/>
    </row>
    <row r="858" spans="1:1" x14ac:dyDescent="0.2">
      <c r="A858" s="366"/>
    </row>
    <row r="859" spans="1:1" x14ac:dyDescent="0.2">
      <c r="A859" s="366"/>
    </row>
    <row r="860" spans="1:1" x14ac:dyDescent="0.2">
      <c r="A860" s="366"/>
    </row>
    <row r="861" spans="1:1" x14ac:dyDescent="0.2">
      <c r="A861" s="366"/>
    </row>
    <row r="862" spans="1:1" x14ac:dyDescent="0.2">
      <c r="A862" s="366"/>
    </row>
    <row r="863" spans="1:1" x14ac:dyDescent="0.2">
      <c r="A863" s="366"/>
    </row>
    <row r="864" spans="1:1" x14ac:dyDescent="0.2">
      <c r="A864" s="366"/>
    </row>
    <row r="865" spans="1:1" x14ac:dyDescent="0.2">
      <c r="A865" s="366"/>
    </row>
    <row r="866" spans="1:1" x14ac:dyDescent="0.2">
      <c r="A866" s="366"/>
    </row>
    <row r="867" spans="1:1" x14ac:dyDescent="0.2">
      <c r="A867" s="366"/>
    </row>
    <row r="868" spans="1:1" x14ac:dyDescent="0.2">
      <c r="A868" s="366"/>
    </row>
    <row r="869" spans="1:1" x14ac:dyDescent="0.2">
      <c r="A869" s="366"/>
    </row>
    <row r="870" spans="1:1" x14ac:dyDescent="0.2">
      <c r="A870" s="366"/>
    </row>
    <row r="871" spans="1:1" x14ac:dyDescent="0.2">
      <c r="A871" s="366"/>
    </row>
    <row r="872" spans="1:1" x14ac:dyDescent="0.2">
      <c r="A872" s="366"/>
    </row>
    <row r="873" spans="1:1" x14ac:dyDescent="0.2">
      <c r="A873" s="366"/>
    </row>
    <row r="874" spans="1:1" x14ac:dyDescent="0.2">
      <c r="A874" s="366"/>
    </row>
    <row r="875" spans="1:1" x14ac:dyDescent="0.2">
      <c r="A875" s="366"/>
    </row>
    <row r="876" spans="1:1" x14ac:dyDescent="0.2">
      <c r="A876" s="366"/>
    </row>
    <row r="877" spans="1:1" x14ac:dyDescent="0.2">
      <c r="A877" s="366"/>
    </row>
    <row r="878" spans="1:1" x14ac:dyDescent="0.2">
      <c r="A878" s="366"/>
    </row>
    <row r="879" spans="1:1" x14ac:dyDescent="0.2">
      <c r="A879" s="366"/>
    </row>
    <row r="880" spans="1:1" x14ac:dyDescent="0.2">
      <c r="A880" s="366"/>
    </row>
    <row r="881" spans="1:1" x14ac:dyDescent="0.2">
      <c r="A881" s="366"/>
    </row>
    <row r="882" spans="1:1" x14ac:dyDescent="0.2">
      <c r="A882" s="366"/>
    </row>
    <row r="883" spans="1:1" x14ac:dyDescent="0.2">
      <c r="A883" s="366"/>
    </row>
    <row r="884" spans="1:1" x14ac:dyDescent="0.2">
      <c r="A884" s="366"/>
    </row>
    <row r="885" spans="1:1" x14ac:dyDescent="0.2">
      <c r="A885" s="366"/>
    </row>
    <row r="886" spans="1:1" x14ac:dyDescent="0.2">
      <c r="A886" s="366"/>
    </row>
    <row r="887" spans="1:1" x14ac:dyDescent="0.2">
      <c r="A887" s="366"/>
    </row>
    <row r="888" spans="1:1" x14ac:dyDescent="0.2">
      <c r="A888" s="366"/>
    </row>
    <row r="889" spans="1:1" x14ac:dyDescent="0.2">
      <c r="A889" s="366"/>
    </row>
    <row r="890" spans="1:1" x14ac:dyDescent="0.2">
      <c r="A890" s="366"/>
    </row>
    <row r="891" spans="1:1" x14ac:dyDescent="0.2">
      <c r="A891" s="366"/>
    </row>
    <row r="892" spans="1:1" x14ac:dyDescent="0.2">
      <c r="A892" s="366"/>
    </row>
    <row r="893" spans="1:1" x14ac:dyDescent="0.2">
      <c r="A893" s="366"/>
    </row>
    <row r="894" spans="1:1" x14ac:dyDescent="0.2">
      <c r="A894" s="366"/>
    </row>
    <row r="895" spans="1:1" x14ac:dyDescent="0.2">
      <c r="A895" s="366"/>
    </row>
    <row r="896" spans="1:1" x14ac:dyDescent="0.2">
      <c r="A896" s="366"/>
    </row>
    <row r="897" spans="1:1" x14ac:dyDescent="0.2">
      <c r="A897" s="366"/>
    </row>
    <row r="898" spans="1:1" x14ac:dyDescent="0.2">
      <c r="A898" s="366"/>
    </row>
    <row r="899" spans="1:1" x14ac:dyDescent="0.2">
      <c r="A899" s="366"/>
    </row>
    <row r="900" spans="1:1" x14ac:dyDescent="0.2">
      <c r="A900" s="366"/>
    </row>
    <row r="901" spans="1:1" x14ac:dyDescent="0.2">
      <c r="A901" s="366"/>
    </row>
    <row r="902" spans="1:1" x14ac:dyDescent="0.2">
      <c r="A902" s="366"/>
    </row>
    <row r="903" spans="1:1" x14ac:dyDescent="0.2">
      <c r="A903" s="366"/>
    </row>
    <row r="904" spans="1:1" x14ac:dyDescent="0.2">
      <c r="A904" s="366"/>
    </row>
    <row r="905" spans="1:1" x14ac:dyDescent="0.2">
      <c r="A905" s="366"/>
    </row>
    <row r="906" spans="1:1" x14ac:dyDescent="0.2">
      <c r="A906" s="366"/>
    </row>
    <row r="907" spans="1:1" x14ac:dyDescent="0.2">
      <c r="A907" s="366"/>
    </row>
    <row r="908" spans="1:1" x14ac:dyDescent="0.2">
      <c r="A908" s="366"/>
    </row>
    <row r="909" spans="1:1" x14ac:dyDescent="0.2">
      <c r="A909" s="366"/>
    </row>
    <row r="910" spans="1:1" x14ac:dyDescent="0.2">
      <c r="A910" s="366"/>
    </row>
    <row r="911" spans="1:1" x14ac:dyDescent="0.2">
      <c r="A911" s="366"/>
    </row>
    <row r="912" spans="1:1" x14ac:dyDescent="0.2">
      <c r="A912" s="366"/>
    </row>
    <row r="913" spans="1:1" x14ac:dyDescent="0.2">
      <c r="A913" s="366"/>
    </row>
    <row r="914" spans="1:1" x14ac:dyDescent="0.2">
      <c r="A914" s="366"/>
    </row>
    <row r="915" spans="1:1" x14ac:dyDescent="0.2">
      <c r="A915" s="366"/>
    </row>
    <row r="916" spans="1:1" x14ac:dyDescent="0.2">
      <c r="A916" s="366"/>
    </row>
    <row r="917" spans="1:1" x14ac:dyDescent="0.2">
      <c r="A917" s="366"/>
    </row>
    <row r="918" spans="1:1" x14ac:dyDescent="0.2">
      <c r="A918" s="366"/>
    </row>
    <row r="919" spans="1:1" x14ac:dyDescent="0.2">
      <c r="A919" s="366"/>
    </row>
    <row r="920" spans="1:1" x14ac:dyDescent="0.2">
      <c r="A920" s="366"/>
    </row>
    <row r="921" spans="1:1" x14ac:dyDescent="0.2">
      <c r="A921" s="366"/>
    </row>
    <row r="922" spans="1:1" x14ac:dyDescent="0.2">
      <c r="A922" s="366"/>
    </row>
    <row r="923" spans="1:1" x14ac:dyDescent="0.2">
      <c r="A923" s="366"/>
    </row>
    <row r="924" spans="1:1" x14ac:dyDescent="0.2">
      <c r="A924" s="366"/>
    </row>
    <row r="925" spans="1:1" x14ac:dyDescent="0.2">
      <c r="A925" s="366"/>
    </row>
    <row r="926" spans="1:1" x14ac:dyDescent="0.2">
      <c r="A926" s="366"/>
    </row>
    <row r="927" spans="1:1" x14ac:dyDescent="0.2">
      <c r="A927" s="366"/>
    </row>
    <row r="928" spans="1:1" x14ac:dyDescent="0.2">
      <c r="A928" s="366"/>
    </row>
    <row r="929" spans="1:1" x14ac:dyDescent="0.2">
      <c r="A929" s="366"/>
    </row>
    <row r="930" spans="1:1" x14ac:dyDescent="0.2">
      <c r="A930" s="366"/>
    </row>
    <row r="931" spans="1:1" x14ac:dyDescent="0.2">
      <c r="A931" s="366"/>
    </row>
    <row r="932" spans="1:1" x14ac:dyDescent="0.2">
      <c r="A932" s="366"/>
    </row>
    <row r="933" spans="1:1" x14ac:dyDescent="0.2">
      <c r="A933" s="366"/>
    </row>
    <row r="934" spans="1:1" x14ac:dyDescent="0.2">
      <c r="A934" s="366"/>
    </row>
    <row r="935" spans="1:1" x14ac:dyDescent="0.2">
      <c r="A935" s="366"/>
    </row>
    <row r="936" spans="1:1" x14ac:dyDescent="0.2">
      <c r="A936" s="366"/>
    </row>
    <row r="937" spans="1:1" x14ac:dyDescent="0.2">
      <c r="A937" s="366"/>
    </row>
    <row r="938" spans="1:1" x14ac:dyDescent="0.2">
      <c r="A938" s="366"/>
    </row>
    <row r="939" spans="1:1" x14ac:dyDescent="0.2">
      <c r="A939" s="366"/>
    </row>
    <row r="940" spans="1:1" x14ac:dyDescent="0.2">
      <c r="A940" s="366"/>
    </row>
    <row r="941" spans="1:1" x14ac:dyDescent="0.2">
      <c r="A941" s="366"/>
    </row>
    <row r="942" spans="1:1" x14ac:dyDescent="0.2">
      <c r="A942" s="366"/>
    </row>
    <row r="943" spans="1:1" x14ac:dyDescent="0.2">
      <c r="A943" s="366"/>
    </row>
    <row r="944" spans="1:1" x14ac:dyDescent="0.2">
      <c r="A944" s="366"/>
    </row>
    <row r="945" spans="1:1" x14ac:dyDescent="0.2">
      <c r="A945" s="366"/>
    </row>
    <row r="946" spans="1:1" x14ac:dyDescent="0.2">
      <c r="A946" s="366"/>
    </row>
    <row r="947" spans="1:1" x14ac:dyDescent="0.2">
      <c r="A947" s="366"/>
    </row>
    <row r="948" spans="1:1" x14ac:dyDescent="0.2">
      <c r="A948" s="366"/>
    </row>
    <row r="949" spans="1:1" x14ac:dyDescent="0.2">
      <c r="A949" s="366"/>
    </row>
    <row r="950" spans="1:1" x14ac:dyDescent="0.2">
      <c r="A950" s="366"/>
    </row>
    <row r="951" spans="1:1" x14ac:dyDescent="0.2">
      <c r="A951" s="366"/>
    </row>
    <row r="952" spans="1:1" x14ac:dyDescent="0.2">
      <c r="A952" s="366"/>
    </row>
    <row r="953" spans="1:1" x14ac:dyDescent="0.2">
      <c r="A953" s="366"/>
    </row>
    <row r="954" spans="1:1" x14ac:dyDescent="0.2">
      <c r="A954" s="366"/>
    </row>
    <row r="955" spans="1:1" x14ac:dyDescent="0.2">
      <c r="A955" s="366"/>
    </row>
    <row r="956" spans="1:1" x14ac:dyDescent="0.2">
      <c r="A956" s="366"/>
    </row>
    <row r="957" spans="1:1" x14ac:dyDescent="0.2">
      <c r="A957" s="366"/>
    </row>
    <row r="958" spans="1:1" x14ac:dyDescent="0.2">
      <c r="A958" s="366"/>
    </row>
    <row r="959" spans="1:1" x14ac:dyDescent="0.2">
      <c r="A959" s="366"/>
    </row>
    <row r="960" spans="1:1" x14ac:dyDescent="0.2">
      <c r="A960" s="366"/>
    </row>
    <row r="961" spans="1:1" x14ac:dyDescent="0.2">
      <c r="A961" s="366"/>
    </row>
    <row r="962" spans="1:1" x14ac:dyDescent="0.2">
      <c r="A962" s="366"/>
    </row>
    <row r="963" spans="1:1" x14ac:dyDescent="0.2">
      <c r="A963" s="366"/>
    </row>
    <row r="964" spans="1:1" x14ac:dyDescent="0.2">
      <c r="A964" s="366"/>
    </row>
    <row r="965" spans="1:1" x14ac:dyDescent="0.2">
      <c r="A965" s="366"/>
    </row>
    <row r="966" spans="1:1" x14ac:dyDescent="0.2">
      <c r="A966" s="366"/>
    </row>
    <row r="967" spans="1:1" x14ac:dyDescent="0.2">
      <c r="A967" s="366"/>
    </row>
    <row r="968" spans="1:1" x14ac:dyDescent="0.2">
      <c r="A968" s="366"/>
    </row>
    <row r="969" spans="1:1" x14ac:dyDescent="0.2">
      <c r="A969" s="366"/>
    </row>
    <row r="970" spans="1:1" x14ac:dyDescent="0.2">
      <c r="A970" s="366"/>
    </row>
    <row r="971" spans="1:1" x14ac:dyDescent="0.2">
      <c r="A971" s="366"/>
    </row>
    <row r="972" spans="1:1" x14ac:dyDescent="0.2">
      <c r="A972" s="366"/>
    </row>
    <row r="973" spans="1:1" x14ac:dyDescent="0.2">
      <c r="A973" s="366"/>
    </row>
    <row r="974" spans="1:1" x14ac:dyDescent="0.2">
      <c r="A974" s="366"/>
    </row>
    <row r="975" spans="1:1" x14ac:dyDescent="0.2">
      <c r="A975" s="366"/>
    </row>
    <row r="976" spans="1:1" x14ac:dyDescent="0.2">
      <c r="A976" s="366"/>
    </row>
    <row r="977" spans="1:1" x14ac:dyDescent="0.2">
      <c r="A977" s="366"/>
    </row>
    <row r="978" spans="1:1" x14ac:dyDescent="0.2">
      <c r="A978" s="366"/>
    </row>
    <row r="979" spans="1:1" x14ac:dyDescent="0.2">
      <c r="A979" s="366"/>
    </row>
    <row r="980" spans="1:1" x14ac:dyDescent="0.2">
      <c r="A980" s="366"/>
    </row>
    <row r="981" spans="1:1" x14ac:dyDescent="0.2">
      <c r="A981" s="366"/>
    </row>
    <row r="982" spans="1:1" x14ac:dyDescent="0.2">
      <c r="A982" s="366"/>
    </row>
    <row r="983" spans="1:1" x14ac:dyDescent="0.2">
      <c r="A983" s="366"/>
    </row>
    <row r="984" spans="1:1" x14ac:dyDescent="0.2">
      <c r="A984" s="366"/>
    </row>
    <row r="985" spans="1:1" x14ac:dyDescent="0.2">
      <c r="A985" s="366"/>
    </row>
    <row r="986" spans="1:1" x14ac:dyDescent="0.2">
      <c r="A986" s="366"/>
    </row>
    <row r="987" spans="1:1" x14ac:dyDescent="0.2">
      <c r="A987" s="366"/>
    </row>
    <row r="988" spans="1:1" x14ac:dyDescent="0.2">
      <c r="A988" s="366"/>
    </row>
    <row r="989" spans="1:1" x14ac:dyDescent="0.2">
      <c r="A989" s="366"/>
    </row>
    <row r="990" spans="1:1" x14ac:dyDescent="0.2">
      <c r="A990" s="366"/>
    </row>
    <row r="991" spans="1:1" x14ac:dyDescent="0.2">
      <c r="A991" s="366"/>
    </row>
    <row r="992" spans="1:1" x14ac:dyDescent="0.2">
      <c r="A992" s="366"/>
    </row>
    <row r="993" spans="1:1" x14ac:dyDescent="0.2">
      <c r="A993" s="366"/>
    </row>
    <row r="994" spans="1:1" x14ac:dyDescent="0.2">
      <c r="A994" s="366"/>
    </row>
    <row r="995" spans="1:1" x14ac:dyDescent="0.2">
      <c r="A995" s="366"/>
    </row>
    <row r="996" spans="1:1" x14ac:dyDescent="0.2">
      <c r="A996" s="366"/>
    </row>
    <row r="997" spans="1:1" x14ac:dyDescent="0.2">
      <c r="A997" s="366"/>
    </row>
    <row r="998" spans="1:1" x14ac:dyDescent="0.2">
      <c r="A998" s="366"/>
    </row>
    <row r="999" spans="1:1" x14ac:dyDescent="0.2">
      <c r="A999" s="366"/>
    </row>
    <row r="1000" spans="1:1" x14ac:dyDescent="0.2">
      <c r="A1000" s="366"/>
    </row>
    <row r="1001" spans="1:1" x14ac:dyDescent="0.2">
      <c r="A1001" s="366"/>
    </row>
    <row r="1002" spans="1:1" x14ac:dyDescent="0.2">
      <c r="A1002" s="366"/>
    </row>
    <row r="1003" spans="1:1" x14ac:dyDescent="0.2">
      <c r="A1003" s="366"/>
    </row>
    <row r="1004" spans="1:1" x14ac:dyDescent="0.2">
      <c r="A1004" s="366"/>
    </row>
    <row r="1005" spans="1:1" x14ac:dyDescent="0.2">
      <c r="A1005" s="366"/>
    </row>
    <row r="1006" spans="1:1" x14ac:dyDescent="0.2">
      <c r="A1006" s="366"/>
    </row>
    <row r="1007" spans="1:1" x14ac:dyDescent="0.2">
      <c r="A1007" s="366"/>
    </row>
    <row r="1008" spans="1:1" x14ac:dyDescent="0.2">
      <c r="A1008" s="366"/>
    </row>
    <row r="1009" spans="1:1" x14ac:dyDescent="0.2">
      <c r="A1009" s="366"/>
    </row>
    <row r="1010" spans="1:1" x14ac:dyDescent="0.2">
      <c r="A1010" s="366"/>
    </row>
    <row r="1011" spans="1:1" x14ac:dyDescent="0.2">
      <c r="A1011" s="366"/>
    </row>
    <row r="1012" spans="1:1" x14ac:dyDescent="0.2">
      <c r="A1012" s="366"/>
    </row>
    <row r="1013" spans="1:1" x14ac:dyDescent="0.2">
      <c r="A1013" s="366"/>
    </row>
    <row r="1014" spans="1:1" x14ac:dyDescent="0.2">
      <c r="A1014" s="366"/>
    </row>
    <row r="1015" spans="1:1" x14ac:dyDescent="0.2">
      <c r="A1015" s="366"/>
    </row>
    <row r="1016" spans="1:1" x14ac:dyDescent="0.2">
      <c r="A1016" s="366"/>
    </row>
    <row r="1017" spans="1:1" x14ac:dyDescent="0.2">
      <c r="A1017" s="366"/>
    </row>
    <row r="1018" spans="1:1" x14ac:dyDescent="0.2">
      <c r="A1018" s="366"/>
    </row>
    <row r="1019" spans="1:1" x14ac:dyDescent="0.2">
      <c r="A1019" s="366"/>
    </row>
    <row r="1020" spans="1:1" x14ac:dyDescent="0.2">
      <c r="A1020" s="366"/>
    </row>
    <row r="1021" spans="1:1" x14ac:dyDescent="0.2">
      <c r="A1021" s="366"/>
    </row>
    <row r="1022" spans="1:1" x14ac:dyDescent="0.2">
      <c r="A1022" s="366"/>
    </row>
    <row r="1023" spans="1:1" x14ac:dyDescent="0.2">
      <c r="A1023" s="366"/>
    </row>
    <row r="1024" spans="1:1" x14ac:dyDescent="0.2">
      <c r="A1024" s="366"/>
    </row>
    <row r="1025" spans="1:1" x14ac:dyDescent="0.2">
      <c r="A1025" s="366"/>
    </row>
    <row r="1026" spans="1:1" x14ac:dyDescent="0.2">
      <c r="A1026" s="366"/>
    </row>
    <row r="1027" spans="1:1" x14ac:dyDescent="0.2">
      <c r="A1027" s="366"/>
    </row>
    <row r="1028" spans="1:1" x14ac:dyDescent="0.2">
      <c r="A1028" s="366"/>
    </row>
    <row r="1029" spans="1:1" x14ac:dyDescent="0.2">
      <c r="A1029" s="366"/>
    </row>
    <row r="1030" spans="1:1" x14ac:dyDescent="0.2">
      <c r="A1030" s="366"/>
    </row>
    <row r="1031" spans="1:1" x14ac:dyDescent="0.2">
      <c r="A1031" s="366"/>
    </row>
    <row r="1032" spans="1:1" x14ac:dyDescent="0.2">
      <c r="A1032" s="366"/>
    </row>
    <row r="1033" spans="1:1" x14ac:dyDescent="0.2">
      <c r="A1033" s="366"/>
    </row>
    <row r="1034" spans="1:1" x14ac:dyDescent="0.2">
      <c r="A1034" s="366"/>
    </row>
    <row r="1035" spans="1:1" x14ac:dyDescent="0.2">
      <c r="A1035" s="366"/>
    </row>
    <row r="1036" spans="1:1" x14ac:dyDescent="0.2">
      <c r="A1036" s="366"/>
    </row>
    <row r="1037" spans="1:1" x14ac:dyDescent="0.2">
      <c r="A1037" s="366"/>
    </row>
    <row r="1038" spans="1:1" x14ac:dyDescent="0.2">
      <c r="A1038" s="366"/>
    </row>
    <row r="1039" spans="1:1" x14ac:dyDescent="0.2">
      <c r="A1039" s="366"/>
    </row>
    <row r="1040" spans="1:1" x14ac:dyDescent="0.2">
      <c r="A1040" s="366"/>
    </row>
    <row r="1041" spans="1:1" x14ac:dyDescent="0.2">
      <c r="A1041" s="366"/>
    </row>
    <row r="1042" spans="1:1" x14ac:dyDescent="0.2">
      <c r="A1042" s="366"/>
    </row>
    <row r="1043" spans="1:1" x14ac:dyDescent="0.2">
      <c r="A1043" s="366"/>
    </row>
    <row r="1044" spans="1:1" x14ac:dyDescent="0.2">
      <c r="A1044" s="366"/>
    </row>
    <row r="1045" spans="1:1" x14ac:dyDescent="0.2">
      <c r="A1045" s="366"/>
    </row>
    <row r="1046" spans="1:1" x14ac:dyDescent="0.2">
      <c r="A1046" s="366"/>
    </row>
    <row r="1047" spans="1:1" x14ac:dyDescent="0.2">
      <c r="A1047" s="366"/>
    </row>
    <row r="1048" spans="1:1" x14ac:dyDescent="0.2">
      <c r="A1048" s="366"/>
    </row>
    <row r="1049" spans="1:1" x14ac:dyDescent="0.2">
      <c r="A1049" s="366"/>
    </row>
    <row r="1050" spans="1:1" x14ac:dyDescent="0.2">
      <c r="A1050" s="366"/>
    </row>
    <row r="1051" spans="1:1" x14ac:dyDescent="0.2">
      <c r="A1051" s="366"/>
    </row>
    <row r="1052" spans="1:1" x14ac:dyDescent="0.2">
      <c r="A1052" s="366"/>
    </row>
    <row r="1053" spans="1:1" x14ac:dyDescent="0.2">
      <c r="A1053" s="366"/>
    </row>
    <row r="1054" spans="1:1" x14ac:dyDescent="0.2">
      <c r="A1054" s="366"/>
    </row>
    <row r="1055" spans="1:1" x14ac:dyDescent="0.2">
      <c r="A1055" s="366"/>
    </row>
    <row r="1056" spans="1:1" x14ac:dyDescent="0.2">
      <c r="A1056" s="366"/>
    </row>
    <row r="1057" spans="1:1" x14ac:dyDescent="0.2">
      <c r="A1057" s="366"/>
    </row>
    <row r="1058" spans="1:1" x14ac:dyDescent="0.2">
      <c r="A1058" s="366"/>
    </row>
    <row r="1059" spans="1:1" x14ac:dyDescent="0.2">
      <c r="A1059" s="366"/>
    </row>
    <row r="1060" spans="1:1" x14ac:dyDescent="0.2">
      <c r="A1060" s="366"/>
    </row>
    <row r="1061" spans="1:1" x14ac:dyDescent="0.2">
      <c r="A1061" s="366"/>
    </row>
    <row r="1062" spans="1:1" x14ac:dyDescent="0.2">
      <c r="A1062" s="366"/>
    </row>
    <row r="1063" spans="1:1" x14ac:dyDescent="0.2">
      <c r="A1063" s="366"/>
    </row>
    <row r="1064" spans="1:1" x14ac:dyDescent="0.2">
      <c r="A1064" s="366"/>
    </row>
    <row r="1065" spans="1:1" x14ac:dyDescent="0.2">
      <c r="A1065" s="366"/>
    </row>
    <row r="1066" spans="1:1" x14ac:dyDescent="0.2">
      <c r="A1066" s="366"/>
    </row>
    <row r="1067" spans="1:1" x14ac:dyDescent="0.2">
      <c r="A1067" s="366"/>
    </row>
    <row r="1068" spans="1:1" x14ac:dyDescent="0.2">
      <c r="A1068" s="366"/>
    </row>
    <row r="1069" spans="1:1" x14ac:dyDescent="0.2">
      <c r="A1069" s="366"/>
    </row>
    <row r="1070" spans="1:1" x14ac:dyDescent="0.2">
      <c r="A1070" s="366"/>
    </row>
    <row r="1071" spans="1:1" x14ac:dyDescent="0.2">
      <c r="A1071" s="366"/>
    </row>
    <row r="1072" spans="1:1" x14ac:dyDescent="0.2">
      <c r="A1072" s="366"/>
    </row>
    <row r="1073" spans="1:1" x14ac:dyDescent="0.2">
      <c r="A1073" s="366"/>
    </row>
    <row r="1074" spans="1:1" x14ac:dyDescent="0.2">
      <c r="A1074" s="366"/>
    </row>
    <row r="1075" spans="1:1" x14ac:dyDescent="0.2">
      <c r="A1075" s="366"/>
    </row>
    <row r="1076" spans="1:1" x14ac:dyDescent="0.2">
      <c r="A1076" s="366"/>
    </row>
    <row r="1077" spans="1:1" x14ac:dyDescent="0.2">
      <c r="A1077" s="366"/>
    </row>
    <row r="1078" spans="1:1" x14ac:dyDescent="0.2">
      <c r="A1078" s="366"/>
    </row>
    <row r="1079" spans="1:1" x14ac:dyDescent="0.2">
      <c r="A1079" s="366"/>
    </row>
    <row r="1080" spans="1:1" x14ac:dyDescent="0.2">
      <c r="A1080" s="366"/>
    </row>
    <row r="1081" spans="1:1" x14ac:dyDescent="0.2">
      <c r="A1081" s="366"/>
    </row>
    <row r="1082" spans="1:1" x14ac:dyDescent="0.2">
      <c r="A1082" s="366"/>
    </row>
    <row r="1083" spans="1:1" x14ac:dyDescent="0.2">
      <c r="A1083" s="366"/>
    </row>
    <row r="1084" spans="1:1" x14ac:dyDescent="0.2">
      <c r="A1084" s="366"/>
    </row>
    <row r="1085" spans="1:1" x14ac:dyDescent="0.2">
      <c r="A1085" s="366"/>
    </row>
    <row r="1086" spans="1:1" x14ac:dyDescent="0.2">
      <c r="A1086" s="366"/>
    </row>
    <row r="1087" spans="1:1" x14ac:dyDescent="0.2">
      <c r="A1087" s="366"/>
    </row>
    <row r="1088" spans="1:1" x14ac:dyDescent="0.2">
      <c r="A1088" s="366"/>
    </row>
    <row r="1089" spans="1:1" x14ac:dyDescent="0.2">
      <c r="A1089" s="366"/>
    </row>
    <row r="1090" spans="1:1" x14ac:dyDescent="0.2">
      <c r="A1090" s="366"/>
    </row>
    <row r="1091" spans="1:1" x14ac:dyDescent="0.2">
      <c r="A1091" s="366"/>
    </row>
    <row r="1092" spans="1:1" x14ac:dyDescent="0.2">
      <c r="A1092" s="366"/>
    </row>
    <row r="1093" spans="1:1" x14ac:dyDescent="0.2">
      <c r="A1093" s="366"/>
    </row>
    <row r="1094" spans="1:1" x14ac:dyDescent="0.2">
      <c r="A1094" s="366"/>
    </row>
    <row r="1095" spans="1:1" x14ac:dyDescent="0.2">
      <c r="A1095" s="366"/>
    </row>
    <row r="1096" spans="1:1" x14ac:dyDescent="0.2">
      <c r="A1096" s="366"/>
    </row>
    <row r="1097" spans="1:1" x14ac:dyDescent="0.2">
      <c r="A1097" s="366"/>
    </row>
    <row r="1098" spans="1:1" x14ac:dyDescent="0.2">
      <c r="A1098" s="366"/>
    </row>
    <row r="1099" spans="1:1" x14ac:dyDescent="0.2">
      <c r="A1099" s="366"/>
    </row>
    <row r="1100" spans="1:1" x14ac:dyDescent="0.2">
      <c r="A1100" s="366"/>
    </row>
    <row r="1101" spans="1:1" x14ac:dyDescent="0.2">
      <c r="A1101" s="366"/>
    </row>
    <row r="1102" spans="1:1" x14ac:dyDescent="0.2">
      <c r="A1102" s="366"/>
    </row>
    <row r="1103" spans="1:1" x14ac:dyDescent="0.2">
      <c r="A1103" s="366"/>
    </row>
    <row r="1104" spans="1:1" x14ac:dyDescent="0.2">
      <c r="A1104" s="366"/>
    </row>
    <row r="1105" spans="1:1" x14ac:dyDescent="0.2">
      <c r="A1105" s="366"/>
    </row>
    <row r="1106" spans="1:1" x14ac:dyDescent="0.2">
      <c r="A1106" s="366"/>
    </row>
    <row r="1107" spans="1:1" x14ac:dyDescent="0.2">
      <c r="A1107" s="366"/>
    </row>
    <row r="1108" spans="1:1" x14ac:dyDescent="0.2">
      <c r="A1108" s="366"/>
    </row>
    <row r="1109" spans="1:1" x14ac:dyDescent="0.2">
      <c r="A1109" s="366"/>
    </row>
    <row r="1110" spans="1:1" x14ac:dyDescent="0.2">
      <c r="A1110" s="366"/>
    </row>
    <row r="1111" spans="1:1" x14ac:dyDescent="0.2">
      <c r="A1111" s="366"/>
    </row>
    <row r="1112" spans="1:1" x14ac:dyDescent="0.2">
      <c r="A1112" s="366"/>
    </row>
    <row r="1113" spans="1:1" x14ac:dyDescent="0.2">
      <c r="A1113" s="366"/>
    </row>
    <row r="1114" spans="1:1" x14ac:dyDescent="0.2">
      <c r="A1114" s="366"/>
    </row>
    <row r="1115" spans="1:1" x14ac:dyDescent="0.2">
      <c r="A1115" s="366"/>
    </row>
    <row r="1116" spans="1:1" x14ac:dyDescent="0.2">
      <c r="A1116" s="366"/>
    </row>
    <row r="1117" spans="1:1" x14ac:dyDescent="0.2">
      <c r="A1117" s="366"/>
    </row>
    <row r="1118" spans="1:1" x14ac:dyDescent="0.2">
      <c r="A1118" s="366"/>
    </row>
    <row r="1119" spans="1:1" x14ac:dyDescent="0.2">
      <c r="A1119" s="366"/>
    </row>
    <row r="1120" spans="1:1" x14ac:dyDescent="0.2">
      <c r="A1120" s="366"/>
    </row>
    <row r="1121" spans="1:1" x14ac:dyDescent="0.2">
      <c r="A1121" s="366"/>
    </row>
    <row r="1122" spans="1:1" x14ac:dyDescent="0.2">
      <c r="A1122" s="366"/>
    </row>
    <row r="1123" spans="1:1" x14ac:dyDescent="0.2">
      <c r="A1123" s="366"/>
    </row>
    <row r="1124" spans="1:1" x14ac:dyDescent="0.2">
      <c r="A1124" s="366"/>
    </row>
    <row r="1125" spans="1:1" x14ac:dyDescent="0.2">
      <c r="A1125" s="366"/>
    </row>
    <row r="1126" spans="1:1" x14ac:dyDescent="0.2">
      <c r="A1126" s="366"/>
    </row>
    <row r="1127" spans="1:1" x14ac:dyDescent="0.2">
      <c r="A1127" s="366"/>
    </row>
    <row r="1128" spans="1:1" x14ac:dyDescent="0.2">
      <c r="A1128" s="366"/>
    </row>
    <row r="1129" spans="1:1" x14ac:dyDescent="0.2">
      <c r="A1129" s="366"/>
    </row>
    <row r="1130" spans="1:1" x14ac:dyDescent="0.2">
      <c r="A1130" s="366"/>
    </row>
    <row r="1131" spans="1:1" x14ac:dyDescent="0.2">
      <c r="A1131" s="366"/>
    </row>
    <row r="1132" spans="1:1" x14ac:dyDescent="0.2">
      <c r="A1132" s="366"/>
    </row>
    <row r="1133" spans="1:1" x14ac:dyDescent="0.2">
      <c r="A1133" s="366"/>
    </row>
    <row r="1134" spans="1:1" x14ac:dyDescent="0.2">
      <c r="A1134" s="366"/>
    </row>
    <row r="1135" spans="1:1" x14ac:dyDescent="0.2">
      <c r="A1135" s="366"/>
    </row>
    <row r="1136" spans="1:1" x14ac:dyDescent="0.2">
      <c r="A1136" s="366"/>
    </row>
    <row r="1137" spans="1:1" x14ac:dyDescent="0.2">
      <c r="A1137" s="366"/>
    </row>
    <row r="1138" spans="1:1" x14ac:dyDescent="0.2">
      <c r="A1138" s="366"/>
    </row>
    <row r="1139" spans="1:1" x14ac:dyDescent="0.2">
      <c r="A1139" s="366"/>
    </row>
    <row r="1140" spans="1:1" x14ac:dyDescent="0.2">
      <c r="A1140" s="366"/>
    </row>
    <row r="1141" spans="1:1" x14ac:dyDescent="0.2">
      <c r="A1141" s="366"/>
    </row>
    <row r="1142" spans="1:1" x14ac:dyDescent="0.2">
      <c r="A1142" s="366"/>
    </row>
    <row r="1143" spans="1:1" x14ac:dyDescent="0.2">
      <c r="A1143" s="366"/>
    </row>
    <row r="1144" spans="1:1" x14ac:dyDescent="0.2">
      <c r="A1144" s="366"/>
    </row>
    <row r="1145" spans="1:1" x14ac:dyDescent="0.2">
      <c r="A1145" s="366"/>
    </row>
    <row r="1146" spans="1:1" x14ac:dyDescent="0.2">
      <c r="A1146" s="366"/>
    </row>
    <row r="1147" spans="1:1" x14ac:dyDescent="0.2">
      <c r="A1147" s="366"/>
    </row>
    <row r="1148" spans="1:1" x14ac:dyDescent="0.2">
      <c r="A1148" s="366"/>
    </row>
    <row r="1149" spans="1:1" x14ac:dyDescent="0.2">
      <c r="A1149" s="366"/>
    </row>
    <row r="1150" spans="1:1" x14ac:dyDescent="0.2">
      <c r="A1150" s="366"/>
    </row>
    <row r="1151" spans="1:1" x14ac:dyDescent="0.2">
      <c r="A1151" s="366"/>
    </row>
    <row r="1152" spans="1:1" x14ac:dyDescent="0.2">
      <c r="A1152" s="366"/>
    </row>
    <row r="1153" spans="1:1" x14ac:dyDescent="0.2">
      <c r="A1153" s="366"/>
    </row>
    <row r="1154" spans="1:1" x14ac:dyDescent="0.2">
      <c r="A1154" s="366"/>
    </row>
    <row r="1155" spans="1:1" x14ac:dyDescent="0.2">
      <c r="A1155" s="366"/>
    </row>
    <row r="1156" spans="1:1" x14ac:dyDescent="0.2">
      <c r="A1156" s="366"/>
    </row>
    <row r="1157" spans="1:1" x14ac:dyDescent="0.2">
      <c r="A1157" s="366"/>
    </row>
    <row r="1158" spans="1:1" x14ac:dyDescent="0.2">
      <c r="A1158" s="366"/>
    </row>
    <row r="1159" spans="1:1" x14ac:dyDescent="0.2">
      <c r="A1159" s="366"/>
    </row>
    <row r="1160" spans="1:1" x14ac:dyDescent="0.2">
      <c r="A1160" s="366"/>
    </row>
    <row r="1161" spans="1:1" x14ac:dyDescent="0.2">
      <c r="A1161" s="366"/>
    </row>
    <row r="1162" spans="1:1" x14ac:dyDescent="0.2">
      <c r="A1162" s="366"/>
    </row>
    <row r="1163" spans="1:1" x14ac:dyDescent="0.2">
      <c r="A1163" s="366"/>
    </row>
    <row r="1164" spans="1:1" x14ac:dyDescent="0.2">
      <c r="A1164" s="366"/>
    </row>
    <row r="1165" spans="1:1" x14ac:dyDescent="0.2">
      <c r="A1165" s="366"/>
    </row>
    <row r="1166" spans="1:1" x14ac:dyDescent="0.2">
      <c r="A1166" s="366"/>
    </row>
    <row r="1167" spans="1:1" x14ac:dyDescent="0.2">
      <c r="A1167" s="366"/>
    </row>
    <row r="1168" spans="1:1" x14ac:dyDescent="0.2">
      <c r="A1168" s="366"/>
    </row>
    <row r="1169" spans="1:1" x14ac:dyDescent="0.2">
      <c r="A1169" s="366"/>
    </row>
    <row r="1170" spans="1:1" x14ac:dyDescent="0.2">
      <c r="A1170" s="366"/>
    </row>
    <row r="1171" spans="1:1" x14ac:dyDescent="0.2">
      <c r="A1171" s="366"/>
    </row>
    <row r="1172" spans="1:1" x14ac:dyDescent="0.2">
      <c r="A1172" s="366"/>
    </row>
    <row r="1173" spans="1:1" x14ac:dyDescent="0.2">
      <c r="A1173" s="366"/>
    </row>
    <row r="1174" spans="1:1" x14ac:dyDescent="0.2">
      <c r="A1174" s="366"/>
    </row>
    <row r="1175" spans="1:1" x14ac:dyDescent="0.2">
      <c r="A1175" s="366"/>
    </row>
    <row r="1176" spans="1:1" x14ac:dyDescent="0.2">
      <c r="A1176" s="366"/>
    </row>
    <row r="1177" spans="1:1" x14ac:dyDescent="0.2">
      <c r="A1177" s="366"/>
    </row>
    <row r="1178" spans="1:1" x14ac:dyDescent="0.2">
      <c r="A1178" s="366"/>
    </row>
    <row r="1179" spans="1:1" x14ac:dyDescent="0.2">
      <c r="A1179" s="366"/>
    </row>
    <row r="1180" spans="1:1" x14ac:dyDescent="0.2">
      <c r="A1180" s="366"/>
    </row>
    <row r="1181" spans="1:1" x14ac:dyDescent="0.2">
      <c r="A1181" s="366"/>
    </row>
    <row r="1182" spans="1:1" x14ac:dyDescent="0.2">
      <c r="A1182" s="366"/>
    </row>
    <row r="1183" spans="1:1" x14ac:dyDescent="0.2">
      <c r="A1183" s="366"/>
    </row>
    <row r="1184" spans="1:1" x14ac:dyDescent="0.2">
      <c r="A1184" s="366"/>
    </row>
    <row r="1185" spans="1:1" x14ac:dyDescent="0.2">
      <c r="A1185" s="366"/>
    </row>
    <row r="1186" spans="1:1" x14ac:dyDescent="0.2">
      <c r="A1186" s="366"/>
    </row>
    <row r="1187" spans="1:1" x14ac:dyDescent="0.2">
      <c r="A1187" s="366"/>
    </row>
    <row r="1188" spans="1:1" x14ac:dyDescent="0.2">
      <c r="A1188" s="366"/>
    </row>
    <row r="1189" spans="1:1" x14ac:dyDescent="0.2">
      <c r="A1189" s="366"/>
    </row>
    <row r="1190" spans="1:1" x14ac:dyDescent="0.2">
      <c r="A1190" s="366"/>
    </row>
    <row r="1191" spans="1:1" x14ac:dyDescent="0.2">
      <c r="A1191" s="366"/>
    </row>
    <row r="1192" spans="1:1" x14ac:dyDescent="0.2">
      <c r="A1192" s="366"/>
    </row>
    <row r="1193" spans="1:1" x14ac:dyDescent="0.2">
      <c r="A1193" s="366"/>
    </row>
    <row r="1194" spans="1:1" x14ac:dyDescent="0.2">
      <c r="A1194" s="366"/>
    </row>
    <row r="1195" spans="1:1" x14ac:dyDescent="0.2">
      <c r="A1195" s="366"/>
    </row>
    <row r="1196" spans="1:1" x14ac:dyDescent="0.2">
      <c r="A1196" s="366"/>
    </row>
    <row r="1197" spans="1:1" x14ac:dyDescent="0.2">
      <c r="A1197" s="366"/>
    </row>
    <row r="1198" spans="1:1" x14ac:dyDescent="0.2">
      <c r="A1198" s="366"/>
    </row>
    <row r="1199" spans="1:1" x14ac:dyDescent="0.2">
      <c r="A1199" s="366"/>
    </row>
    <row r="1200" spans="1:1" x14ac:dyDescent="0.2">
      <c r="A1200" s="366"/>
    </row>
    <row r="1201" spans="1:1" x14ac:dyDescent="0.2">
      <c r="A1201" s="366"/>
    </row>
    <row r="1202" spans="1:1" x14ac:dyDescent="0.2">
      <c r="A1202" s="366"/>
    </row>
    <row r="1203" spans="1:1" x14ac:dyDescent="0.2">
      <c r="A1203" s="366"/>
    </row>
    <row r="1204" spans="1:1" x14ac:dyDescent="0.2">
      <c r="A1204" s="366"/>
    </row>
    <row r="1205" spans="1:1" x14ac:dyDescent="0.2">
      <c r="A1205" s="366"/>
    </row>
    <row r="1206" spans="1:1" x14ac:dyDescent="0.2">
      <c r="A1206" s="366"/>
    </row>
    <row r="1207" spans="1:1" x14ac:dyDescent="0.2">
      <c r="A1207" s="366"/>
    </row>
    <row r="1208" spans="1:1" x14ac:dyDescent="0.2">
      <c r="A1208" s="366"/>
    </row>
    <row r="1209" spans="1:1" x14ac:dyDescent="0.2">
      <c r="A1209" s="366"/>
    </row>
    <row r="1210" spans="1:1" x14ac:dyDescent="0.2">
      <c r="A1210" s="366"/>
    </row>
    <row r="1211" spans="1:1" x14ac:dyDescent="0.2">
      <c r="A1211" s="366"/>
    </row>
    <row r="1212" spans="1:1" x14ac:dyDescent="0.2">
      <c r="A1212" s="366"/>
    </row>
    <row r="1213" spans="1:1" x14ac:dyDescent="0.2">
      <c r="A1213" s="366"/>
    </row>
    <row r="1214" spans="1:1" x14ac:dyDescent="0.2">
      <c r="A1214" s="366"/>
    </row>
    <row r="1215" spans="1:1" x14ac:dyDescent="0.2">
      <c r="A1215" s="366"/>
    </row>
    <row r="1216" spans="1:1" x14ac:dyDescent="0.2">
      <c r="A1216" s="366"/>
    </row>
    <row r="1217" spans="1:1" x14ac:dyDescent="0.2">
      <c r="A1217" s="366"/>
    </row>
    <row r="1218" spans="1:1" x14ac:dyDescent="0.2">
      <c r="A1218" s="366"/>
    </row>
    <row r="1219" spans="1:1" x14ac:dyDescent="0.2">
      <c r="A1219" s="366"/>
    </row>
    <row r="1220" spans="1:1" x14ac:dyDescent="0.2">
      <c r="A1220" s="366"/>
    </row>
    <row r="1221" spans="1:1" x14ac:dyDescent="0.2">
      <c r="A1221" s="366"/>
    </row>
    <row r="1222" spans="1:1" x14ac:dyDescent="0.2">
      <c r="A1222" s="366"/>
    </row>
    <row r="1223" spans="1:1" x14ac:dyDescent="0.2">
      <c r="A1223" s="366"/>
    </row>
    <row r="1224" spans="1:1" x14ac:dyDescent="0.2">
      <c r="A1224" s="366"/>
    </row>
    <row r="1225" spans="1:1" x14ac:dyDescent="0.2">
      <c r="A1225" s="366"/>
    </row>
    <row r="1226" spans="1:1" x14ac:dyDescent="0.2">
      <c r="A1226" s="366"/>
    </row>
    <row r="1227" spans="1:1" x14ac:dyDescent="0.2">
      <c r="A1227" s="366"/>
    </row>
    <row r="1228" spans="1:1" x14ac:dyDescent="0.2">
      <c r="A1228" s="366"/>
    </row>
    <row r="1229" spans="1:1" x14ac:dyDescent="0.2">
      <c r="A1229" s="366"/>
    </row>
    <row r="1230" spans="1:1" x14ac:dyDescent="0.2">
      <c r="A1230" s="366"/>
    </row>
    <row r="1231" spans="1:1" x14ac:dyDescent="0.2">
      <c r="A1231" s="366"/>
    </row>
    <row r="1232" spans="1:1" x14ac:dyDescent="0.2">
      <c r="A1232" s="366"/>
    </row>
    <row r="1233" spans="1:1" x14ac:dyDescent="0.2">
      <c r="A1233" s="366"/>
    </row>
    <row r="1234" spans="1:1" x14ac:dyDescent="0.2">
      <c r="A1234" s="366"/>
    </row>
    <row r="1235" spans="1:1" x14ac:dyDescent="0.2">
      <c r="A1235" s="366"/>
    </row>
    <row r="1236" spans="1:1" x14ac:dyDescent="0.2">
      <c r="A1236" s="366"/>
    </row>
    <row r="1237" spans="1:1" x14ac:dyDescent="0.2">
      <c r="A1237" s="366"/>
    </row>
    <row r="1238" spans="1:1" x14ac:dyDescent="0.2">
      <c r="A1238" s="366"/>
    </row>
    <row r="1239" spans="1:1" x14ac:dyDescent="0.2">
      <c r="A1239" s="366"/>
    </row>
    <row r="1240" spans="1:1" x14ac:dyDescent="0.2">
      <c r="A1240" s="366"/>
    </row>
    <row r="1241" spans="1:1" x14ac:dyDescent="0.2">
      <c r="A1241" s="366"/>
    </row>
    <row r="1242" spans="1:1" x14ac:dyDescent="0.2">
      <c r="A1242" s="366"/>
    </row>
    <row r="1243" spans="1:1" x14ac:dyDescent="0.2">
      <c r="A1243" s="366"/>
    </row>
    <row r="1244" spans="1:1" x14ac:dyDescent="0.2">
      <c r="A1244" s="366"/>
    </row>
    <row r="1245" spans="1:1" x14ac:dyDescent="0.2">
      <c r="A1245" s="366"/>
    </row>
    <row r="1246" spans="1:1" x14ac:dyDescent="0.2">
      <c r="A1246" s="366"/>
    </row>
    <row r="1247" spans="1:1" x14ac:dyDescent="0.2">
      <c r="A1247" s="366"/>
    </row>
    <row r="1248" spans="1:1" x14ac:dyDescent="0.2">
      <c r="A1248" s="366"/>
    </row>
    <row r="1249" spans="1:1" x14ac:dyDescent="0.2">
      <c r="A1249" s="366"/>
    </row>
    <row r="1250" spans="1:1" x14ac:dyDescent="0.2">
      <c r="A1250" s="366"/>
    </row>
    <row r="1251" spans="1:1" x14ac:dyDescent="0.2">
      <c r="A1251" s="366"/>
    </row>
    <row r="1252" spans="1:1" x14ac:dyDescent="0.2">
      <c r="A1252" s="366"/>
    </row>
    <row r="1253" spans="1:1" x14ac:dyDescent="0.2">
      <c r="A1253" s="366"/>
    </row>
    <row r="1254" spans="1:1" x14ac:dyDescent="0.2">
      <c r="A1254" s="366"/>
    </row>
    <row r="1255" spans="1:1" x14ac:dyDescent="0.2">
      <c r="A1255" s="366"/>
    </row>
    <row r="1256" spans="1:1" x14ac:dyDescent="0.2">
      <c r="A1256" s="366"/>
    </row>
    <row r="1257" spans="1:1" x14ac:dyDescent="0.2">
      <c r="A1257" s="366"/>
    </row>
    <row r="1258" spans="1:1" x14ac:dyDescent="0.2">
      <c r="A1258" s="366"/>
    </row>
    <row r="1259" spans="1:1" x14ac:dyDescent="0.2">
      <c r="A1259" s="366"/>
    </row>
    <row r="1260" spans="1:1" x14ac:dyDescent="0.2">
      <c r="A1260" s="366"/>
    </row>
    <row r="1261" spans="1:1" x14ac:dyDescent="0.2">
      <c r="A1261" s="366"/>
    </row>
    <row r="1262" spans="1:1" x14ac:dyDescent="0.2">
      <c r="A1262" s="366"/>
    </row>
    <row r="1263" spans="1:1" x14ac:dyDescent="0.2">
      <c r="A1263" s="366"/>
    </row>
    <row r="1264" spans="1:1" x14ac:dyDescent="0.2">
      <c r="A1264" s="366"/>
    </row>
    <row r="1265" spans="1:1" x14ac:dyDescent="0.2">
      <c r="A1265" s="366"/>
    </row>
    <row r="1266" spans="1:1" x14ac:dyDescent="0.2">
      <c r="A1266" s="366"/>
    </row>
    <row r="1267" spans="1:1" x14ac:dyDescent="0.2">
      <c r="A1267" s="366"/>
    </row>
    <row r="1268" spans="1:1" x14ac:dyDescent="0.2">
      <c r="A1268" s="366"/>
    </row>
    <row r="1269" spans="1:1" x14ac:dyDescent="0.2">
      <c r="A1269" s="366"/>
    </row>
    <row r="1270" spans="1:1" x14ac:dyDescent="0.2">
      <c r="A1270" s="366"/>
    </row>
    <row r="1271" spans="1:1" x14ac:dyDescent="0.2">
      <c r="A1271" s="366"/>
    </row>
    <row r="1272" spans="1:1" x14ac:dyDescent="0.2">
      <c r="A1272" s="366"/>
    </row>
    <row r="1273" spans="1:1" x14ac:dyDescent="0.2">
      <c r="A1273" s="366"/>
    </row>
    <row r="1274" spans="1:1" x14ac:dyDescent="0.2">
      <c r="A1274" s="366"/>
    </row>
    <row r="1275" spans="1:1" x14ac:dyDescent="0.2">
      <c r="A1275" s="366"/>
    </row>
    <row r="1276" spans="1:1" x14ac:dyDescent="0.2">
      <c r="A1276" s="366"/>
    </row>
    <row r="1277" spans="1:1" x14ac:dyDescent="0.2">
      <c r="A1277" s="366"/>
    </row>
    <row r="1278" spans="1:1" x14ac:dyDescent="0.2">
      <c r="A1278" s="366"/>
    </row>
    <row r="1279" spans="1:1" x14ac:dyDescent="0.2">
      <c r="A1279" s="366"/>
    </row>
    <row r="1280" spans="1:1" x14ac:dyDescent="0.2">
      <c r="A1280" s="366"/>
    </row>
    <row r="1281" spans="1:1" x14ac:dyDescent="0.2">
      <c r="A1281" s="366"/>
    </row>
    <row r="1282" spans="1:1" x14ac:dyDescent="0.2">
      <c r="A1282" s="366"/>
    </row>
    <row r="1283" spans="1:1" x14ac:dyDescent="0.2">
      <c r="A1283" s="366"/>
    </row>
    <row r="1284" spans="1:1" x14ac:dyDescent="0.2">
      <c r="A1284" s="366"/>
    </row>
    <row r="1285" spans="1:1" x14ac:dyDescent="0.2">
      <c r="A1285" s="366"/>
    </row>
    <row r="1286" spans="1:1" x14ac:dyDescent="0.2">
      <c r="A1286" s="366"/>
    </row>
    <row r="1287" spans="1:1" x14ac:dyDescent="0.2">
      <c r="A1287" s="366"/>
    </row>
    <row r="1288" spans="1:1" x14ac:dyDescent="0.2">
      <c r="A1288" s="366"/>
    </row>
    <row r="1289" spans="1:1" x14ac:dyDescent="0.2">
      <c r="A1289" s="366"/>
    </row>
    <row r="1290" spans="1:1" x14ac:dyDescent="0.2">
      <c r="A1290" s="366"/>
    </row>
    <row r="1291" spans="1:1" x14ac:dyDescent="0.2">
      <c r="A1291" s="366"/>
    </row>
    <row r="1292" spans="1:1" x14ac:dyDescent="0.2">
      <c r="A1292" s="366"/>
    </row>
    <row r="1293" spans="1:1" x14ac:dyDescent="0.2">
      <c r="A1293" s="366"/>
    </row>
    <row r="1294" spans="1:1" x14ac:dyDescent="0.2">
      <c r="A1294" s="366"/>
    </row>
    <row r="1295" spans="1:1" x14ac:dyDescent="0.2">
      <c r="A1295" s="366"/>
    </row>
    <row r="1296" spans="1:1" x14ac:dyDescent="0.2">
      <c r="A1296" s="366"/>
    </row>
    <row r="1297" spans="1:1" x14ac:dyDescent="0.2">
      <c r="A1297" s="366"/>
    </row>
    <row r="1298" spans="1:1" x14ac:dyDescent="0.2">
      <c r="A1298" s="366"/>
    </row>
    <row r="1299" spans="1:1" x14ac:dyDescent="0.2">
      <c r="A1299" s="366"/>
    </row>
    <row r="1300" spans="1:1" x14ac:dyDescent="0.2">
      <c r="A1300" s="366"/>
    </row>
    <row r="1301" spans="1:1" x14ac:dyDescent="0.2">
      <c r="A1301" s="366"/>
    </row>
    <row r="1302" spans="1:1" x14ac:dyDescent="0.2">
      <c r="A1302" s="366"/>
    </row>
    <row r="1303" spans="1:1" x14ac:dyDescent="0.2">
      <c r="A1303" s="366"/>
    </row>
    <row r="1304" spans="1:1" x14ac:dyDescent="0.2">
      <c r="A1304" s="366"/>
    </row>
    <row r="1305" spans="1:1" x14ac:dyDescent="0.2">
      <c r="A1305" s="366"/>
    </row>
    <row r="1306" spans="1:1" x14ac:dyDescent="0.2">
      <c r="A1306" s="366"/>
    </row>
    <row r="1307" spans="1:1" x14ac:dyDescent="0.2">
      <c r="A1307" s="366"/>
    </row>
    <row r="1308" spans="1:1" x14ac:dyDescent="0.2">
      <c r="A1308" s="366"/>
    </row>
    <row r="1309" spans="1:1" x14ac:dyDescent="0.2">
      <c r="A1309" s="366"/>
    </row>
    <row r="1310" spans="1:1" x14ac:dyDescent="0.2">
      <c r="A1310" s="366"/>
    </row>
    <row r="1311" spans="1:1" x14ac:dyDescent="0.2">
      <c r="A1311" s="366"/>
    </row>
    <row r="1312" spans="1:1" x14ac:dyDescent="0.2">
      <c r="A1312" s="366"/>
    </row>
    <row r="1313" spans="1:1" x14ac:dyDescent="0.2">
      <c r="A1313" s="366"/>
    </row>
    <row r="1314" spans="1:1" x14ac:dyDescent="0.2">
      <c r="A1314" s="366"/>
    </row>
    <row r="1315" spans="1:1" x14ac:dyDescent="0.2">
      <c r="A1315" s="366"/>
    </row>
    <row r="1316" spans="1:1" x14ac:dyDescent="0.2">
      <c r="A1316" s="366"/>
    </row>
    <row r="1317" spans="1:1" x14ac:dyDescent="0.2">
      <c r="A1317" s="366"/>
    </row>
    <row r="1318" spans="1:1" x14ac:dyDescent="0.2">
      <c r="A1318" s="366"/>
    </row>
    <row r="1319" spans="1:1" x14ac:dyDescent="0.2">
      <c r="A1319" s="366"/>
    </row>
    <row r="1320" spans="1:1" x14ac:dyDescent="0.2">
      <c r="A1320" s="366"/>
    </row>
    <row r="1321" spans="1:1" x14ac:dyDescent="0.2">
      <c r="A1321" s="366"/>
    </row>
    <row r="1322" spans="1:1" x14ac:dyDescent="0.2">
      <c r="A1322" s="366"/>
    </row>
    <row r="1323" spans="1:1" x14ac:dyDescent="0.2">
      <c r="A1323" s="366"/>
    </row>
    <row r="1324" spans="1:1" x14ac:dyDescent="0.2">
      <c r="A1324" s="366"/>
    </row>
    <row r="1325" spans="1:1" x14ac:dyDescent="0.2">
      <c r="A1325" s="366"/>
    </row>
    <row r="1326" spans="1:1" x14ac:dyDescent="0.2">
      <c r="A1326" s="366"/>
    </row>
    <row r="1327" spans="1:1" x14ac:dyDescent="0.2">
      <c r="A1327" s="366"/>
    </row>
    <row r="1328" spans="1:1" x14ac:dyDescent="0.2">
      <c r="A1328" s="366"/>
    </row>
    <row r="1329" spans="1:1" x14ac:dyDescent="0.2">
      <c r="A1329" s="366"/>
    </row>
    <row r="1330" spans="1:1" x14ac:dyDescent="0.2">
      <c r="A1330" s="366"/>
    </row>
    <row r="1331" spans="1:1" x14ac:dyDescent="0.2">
      <c r="A1331" s="366"/>
    </row>
    <row r="1332" spans="1:1" x14ac:dyDescent="0.2">
      <c r="A1332" s="366"/>
    </row>
    <row r="1333" spans="1:1" x14ac:dyDescent="0.2">
      <c r="A1333" s="366"/>
    </row>
    <row r="1334" spans="1:1" x14ac:dyDescent="0.2">
      <c r="A1334" s="366"/>
    </row>
    <row r="1335" spans="1:1" x14ac:dyDescent="0.2">
      <c r="A1335" s="366"/>
    </row>
    <row r="1336" spans="1:1" x14ac:dyDescent="0.2">
      <c r="A1336" s="366"/>
    </row>
    <row r="1337" spans="1:1" x14ac:dyDescent="0.2">
      <c r="A1337" s="366"/>
    </row>
    <row r="1338" spans="1:1" x14ac:dyDescent="0.2">
      <c r="A1338" s="366"/>
    </row>
    <row r="1339" spans="1:1" x14ac:dyDescent="0.2">
      <c r="A1339" s="366"/>
    </row>
    <row r="1340" spans="1:1" x14ac:dyDescent="0.2">
      <c r="A1340" s="366"/>
    </row>
    <row r="1341" spans="1:1" x14ac:dyDescent="0.2">
      <c r="A1341" s="366"/>
    </row>
    <row r="1342" spans="1:1" x14ac:dyDescent="0.2">
      <c r="A1342" s="366"/>
    </row>
    <row r="1343" spans="1:1" x14ac:dyDescent="0.2">
      <c r="A1343" s="366"/>
    </row>
    <row r="1344" spans="1:1" x14ac:dyDescent="0.2">
      <c r="A1344" s="366"/>
    </row>
    <row r="1345" spans="1:1" x14ac:dyDescent="0.2">
      <c r="A1345" s="366"/>
    </row>
    <row r="1346" spans="1:1" x14ac:dyDescent="0.2">
      <c r="A1346" s="366"/>
    </row>
    <row r="1347" spans="1:1" x14ac:dyDescent="0.2">
      <c r="A1347" s="366"/>
    </row>
    <row r="1348" spans="1:1" x14ac:dyDescent="0.2">
      <c r="A1348" s="366"/>
    </row>
    <row r="1349" spans="1:1" x14ac:dyDescent="0.2">
      <c r="A1349" s="366"/>
    </row>
    <row r="1350" spans="1:1" x14ac:dyDescent="0.2">
      <c r="A1350" s="366"/>
    </row>
    <row r="1351" spans="1:1" x14ac:dyDescent="0.2">
      <c r="A1351" s="366"/>
    </row>
    <row r="1352" spans="1:1" x14ac:dyDescent="0.2">
      <c r="A1352" s="366"/>
    </row>
    <row r="1353" spans="1:1" x14ac:dyDescent="0.2">
      <c r="A1353" s="366"/>
    </row>
    <row r="1354" spans="1:1" x14ac:dyDescent="0.2">
      <c r="A1354" s="366"/>
    </row>
    <row r="1355" spans="1:1" x14ac:dyDescent="0.2">
      <c r="A1355" s="366"/>
    </row>
    <row r="1356" spans="1:1" x14ac:dyDescent="0.2">
      <c r="A1356" s="366"/>
    </row>
    <row r="1357" spans="1:1" x14ac:dyDescent="0.2">
      <c r="A1357" s="366"/>
    </row>
    <row r="1358" spans="1:1" x14ac:dyDescent="0.2">
      <c r="A1358" s="366"/>
    </row>
    <row r="1359" spans="1:1" x14ac:dyDescent="0.2">
      <c r="A1359" s="366"/>
    </row>
    <row r="1360" spans="1:1" x14ac:dyDescent="0.2">
      <c r="A1360" s="366"/>
    </row>
    <row r="1361" spans="1:1" x14ac:dyDescent="0.2">
      <c r="A1361" s="366"/>
    </row>
    <row r="1362" spans="1:1" x14ac:dyDescent="0.2">
      <c r="A1362" s="366"/>
    </row>
    <row r="1363" spans="1:1" x14ac:dyDescent="0.2">
      <c r="A1363" s="366"/>
    </row>
    <row r="1364" spans="1:1" x14ac:dyDescent="0.2">
      <c r="A1364" s="366"/>
    </row>
    <row r="1365" spans="1:1" x14ac:dyDescent="0.2">
      <c r="A1365" s="366"/>
    </row>
    <row r="1366" spans="1:1" x14ac:dyDescent="0.2">
      <c r="A1366" s="366"/>
    </row>
    <row r="1367" spans="1:1" x14ac:dyDescent="0.2">
      <c r="A1367" s="366"/>
    </row>
    <row r="1368" spans="1:1" x14ac:dyDescent="0.2">
      <c r="A1368" s="366"/>
    </row>
    <row r="1369" spans="1:1" x14ac:dyDescent="0.2">
      <c r="A1369" s="366"/>
    </row>
    <row r="1370" spans="1:1" x14ac:dyDescent="0.2">
      <c r="A1370" s="366"/>
    </row>
    <row r="1371" spans="1:1" x14ac:dyDescent="0.2">
      <c r="A1371" s="366"/>
    </row>
    <row r="1372" spans="1:1" x14ac:dyDescent="0.2">
      <c r="A1372" s="366"/>
    </row>
    <row r="1373" spans="1:1" x14ac:dyDescent="0.2">
      <c r="A1373" s="366"/>
    </row>
    <row r="1374" spans="1:1" x14ac:dyDescent="0.2">
      <c r="A1374" s="366"/>
    </row>
    <row r="1375" spans="1:1" x14ac:dyDescent="0.2">
      <c r="A1375" s="366"/>
    </row>
    <row r="1376" spans="1:1" x14ac:dyDescent="0.2">
      <c r="A1376" s="366"/>
    </row>
    <row r="1377" spans="1:1" x14ac:dyDescent="0.2">
      <c r="A1377" s="366"/>
    </row>
    <row r="1378" spans="1:1" x14ac:dyDescent="0.2">
      <c r="A1378" s="366"/>
    </row>
    <row r="1379" spans="1:1" x14ac:dyDescent="0.2">
      <c r="A1379" s="366"/>
    </row>
    <row r="1380" spans="1:1" x14ac:dyDescent="0.2">
      <c r="A1380" s="366"/>
    </row>
    <row r="1381" spans="1:1" x14ac:dyDescent="0.2">
      <c r="A1381" s="366"/>
    </row>
    <row r="1382" spans="1:1" x14ac:dyDescent="0.2">
      <c r="A1382" s="366"/>
    </row>
    <row r="1383" spans="1:1" x14ac:dyDescent="0.2">
      <c r="A1383" s="366"/>
    </row>
    <row r="1384" spans="1:1" x14ac:dyDescent="0.2">
      <c r="A1384" s="366"/>
    </row>
    <row r="1385" spans="1:1" x14ac:dyDescent="0.2">
      <c r="A1385" s="366"/>
    </row>
    <row r="1386" spans="1:1" x14ac:dyDescent="0.2">
      <c r="A1386" s="366"/>
    </row>
    <row r="1387" spans="1:1" x14ac:dyDescent="0.2">
      <c r="A1387" s="366"/>
    </row>
    <row r="1388" spans="1:1" x14ac:dyDescent="0.2">
      <c r="A1388" s="366"/>
    </row>
    <row r="1389" spans="1:1" x14ac:dyDescent="0.2">
      <c r="A1389" s="366"/>
    </row>
    <row r="1390" spans="1:1" x14ac:dyDescent="0.2">
      <c r="A1390" s="366"/>
    </row>
    <row r="1391" spans="1:1" x14ac:dyDescent="0.2">
      <c r="A1391" s="366"/>
    </row>
    <row r="1392" spans="1:1" x14ac:dyDescent="0.2">
      <c r="A1392" s="366"/>
    </row>
    <row r="1393" spans="1:1" x14ac:dyDescent="0.2">
      <c r="A1393" s="366"/>
    </row>
    <row r="1394" spans="1:1" x14ac:dyDescent="0.2">
      <c r="A1394" s="366"/>
    </row>
    <row r="1395" spans="1:1" x14ac:dyDescent="0.2">
      <c r="A1395" s="366"/>
    </row>
    <row r="1396" spans="1:1" x14ac:dyDescent="0.2">
      <c r="A1396" s="366"/>
    </row>
    <row r="1397" spans="1:1" x14ac:dyDescent="0.2">
      <c r="A1397" s="366"/>
    </row>
    <row r="1398" spans="1:1" x14ac:dyDescent="0.2">
      <c r="A1398" s="366"/>
    </row>
    <row r="1399" spans="1:1" x14ac:dyDescent="0.2">
      <c r="A1399" s="366"/>
    </row>
    <row r="1400" spans="1:1" x14ac:dyDescent="0.2">
      <c r="A1400" s="366"/>
    </row>
    <row r="1401" spans="1:1" x14ac:dyDescent="0.2">
      <c r="A1401" s="366"/>
    </row>
    <row r="1402" spans="1:1" x14ac:dyDescent="0.2">
      <c r="A1402" s="366"/>
    </row>
    <row r="1403" spans="1:1" x14ac:dyDescent="0.2">
      <c r="A1403" s="366"/>
    </row>
    <row r="1404" spans="1:1" x14ac:dyDescent="0.2">
      <c r="A1404" s="366"/>
    </row>
    <row r="1405" spans="1:1" x14ac:dyDescent="0.2">
      <c r="A1405" s="366"/>
    </row>
    <row r="1406" spans="1:1" x14ac:dyDescent="0.2">
      <c r="A1406" s="366"/>
    </row>
    <row r="1407" spans="1:1" x14ac:dyDescent="0.2">
      <c r="A1407" s="366"/>
    </row>
    <row r="1408" spans="1:1" x14ac:dyDescent="0.2">
      <c r="A1408" s="366"/>
    </row>
    <row r="1409" spans="1:1" x14ac:dyDescent="0.2">
      <c r="A1409" s="366"/>
    </row>
    <row r="1410" spans="1:1" x14ac:dyDescent="0.2">
      <c r="A1410" s="366"/>
    </row>
    <row r="1411" spans="1:1" x14ac:dyDescent="0.2">
      <c r="A1411" s="366"/>
    </row>
    <row r="1412" spans="1:1" x14ac:dyDescent="0.2">
      <c r="A1412" s="366"/>
    </row>
    <row r="1413" spans="1:1" x14ac:dyDescent="0.2">
      <c r="A1413" s="366"/>
    </row>
    <row r="1414" spans="1:1" x14ac:dyDescent="0.2">
      <c r="A1414" s="366"/>
    </row>
    <row r="1415" spans="1:1" x14ac:dyDescent="0.2">
      <c r="A1415" s="366"/>
    </row>
    <row r="1416" spans="1:1" x14ac:dyDescent="0.2">
      <c r="A1416" s="366"/>
    </row>
    <row r="1417" spans="1:1" x14ac:dyDescent="0.2">
      <c r="A1417" s="366"/>
    </row>
    <row r="1418" spans="1:1" x14ac:dyDescent="0.2">
      <c r="A1418" s="366"/>
    </row>
    <row r="1419" spans="1:1" x14ac:dyDescent="0.2">
      <c r="A1419" s="366"/>
    </row>
    <row r="1420" spans="1:1" x14ac:dyDescent="0.2">
      <c r="A1420" s="366"/>
    </row>
    <row r="1421" spans="1:1" x14ac:dyDescent="0.2">
      <c r="A1421" s="366"/>
    </row>
    <row r="1422" spans="1:1" x14ac:dyDescent="0.2">
      <c r="A1422" s="366"/>
    </row>
    <row r="1423" spans="1:1" x14ac:dyDescent="0.2">
      <c r="A1423" s="366"/>
    </row>
    <row r="1424" spans="1:1" x14ac:dyDescent="0.2">
      <c r="A1424" s="366"/>
    </row>
    <row r="1425" spans="1:1" x14ac:dyDescent="0.2">
      <c r="A1425" s="366"/>
    </row>
    <row r="1426" spans="1:1" x14ac:dyDescent="0.2">
      <c r="A1426" s="366"/>
    </row>
    <row r="1427" spans="1:1" x14ac:dyDescent="0.2">
      <c r="A1427" s="366"/>
    </row>
    <row r="1428" spans="1:1" x14ac:dyDescent="0.2">
      <c r="A1428" s="366"/>
    </row>
    <row r="1429" spans="1:1" x14ac:dyDescent="0.2">
      <c r="A1429" s="366"/>
    </row>
    <row r="1430" spans="1:1" x14ac:dyDescent="0.2">
      <c r="A1430" s="366"/>
    </row>
    <row r="1431" spans="1:1" x14ac:dyDescent="0.2">
      <c r="A1431" s="366"/>
    </row>
    <row r="1432" spans="1:1" x14ac:dyDescent="0.2">
      <c r="A1432" s="366"/>
    </row>
    <row r="1433" spans="1:1" x14ac:dyDescent="0.2">
      <c r="A1433" s="366"/>
    </row>
    <row r="1434" spans="1:1" x14ac:dyDescent="0.2">
      <c r="A1434" s="366"/>
    </row>
    <row r="1435" spans="1:1" x14ac:dyDescent="0.2">
      <c r="A1435" s="366"/>
    </row>
    <row r="1436" spans="1:1" x14ac:dyDescent="0.2">
      <c r="A1436" s="366"/>
    </row>
    <row r="1437" spans="1:1" x14ac:dyDescent="0.2">
      <c r="A1437" s="366"/>
    </row>
    <row r="1438" spans="1:1" x14ac:dyDescent="0.2">
      <c r="A1438" s="366"/>
    </row>
    <row r="1439" spans="1:1" x14ac:dyDescent="0.2">
      <c r="A1439" s="366"/>
    </row>
    <row r="1440" spans="1:1" x14ac:dyDescent="0.2">
      <c r="A1440" s="366"/>
    </row>
    <row r="1441" spans="1:1" x14ac:dyDescent="0.2">
      <c r="A1441" s="366"/>
    </row>
    <row r="1442" spans="1:1" x14ac:dyDescent="0.2">
      <c r="A1442" s="366"/>
    </row>
    <row r="1443" spans="1:1" x14ac:dyDescent="0.2">
      <c r="A1443" s="366"/>
    </row>
    <row r="1444" spans="1:1" x14ac:dyDescent="0.2">
      <c r="A1444" s="366"/>
    </row>
    <row r="1445" spans="1:1" x14ac:dyDescent="0.2">
      <c r="A1445" s="366"/>
    </row>
    <row r="1446" spans="1:1" x14ac:dyDescent="0.2">
      <c r="A1446" s="366"/>
    </row>
    <row r="1447" spans="1:1" x14ac:dyDescent="0.2">
      <c r="A1447" s="366"/>
    </row>
    <row r="1448" spans="1:1" x14ac:dyDescent="0.2">
      <c r="A1448" s="366"/>
    </row>
    <row r="1449" spans="1:1" x14ac:dyDescent="0.2">
      <c r="A1449" s="366"/>
    </row>
    <row r="1450" spans="1:1" x14ac:dyDescent="0.2">
      <c r="A1450" s="366"/>
    </row>
    <row r="1451" spans="1:1" x14ac:dyDescent="0.2">
      <c r="A1451" s="366"/>
    </row>
    <row r="1452" spans="1:1" x14ac:dyDescent="0.2">
      <c r="A1452" s="366"/>
    </row>
    <row r="1453" spans="1:1" x14ac:dyDescent="0.2">
      <c r="A1453" s="366"/>
    </row>
    <row r="1454" spans="1:1" x14ac:dyDescent="0.2">
      <c r="A1454" s="366"/>
    </row>
    <row r="1455" spans="1:1" x14ac:dyDescent="0.2">
      <c r="A1455" s="366"/>
    </row>
    <row r="1456" spans="1:1" x14ac:dyDescent="0.2">
      <c r="A1456" s="366"/>
    </row>
    <row r="1457" spans="1:1" x14ac:dyDescent="0.2">
      <c r="A1457" s="366"/>
    </row>
    <row r="1458" spans="1:1" x14ac:dyDescent="0.2">
      <c r="A1458" s="366"/>
    </row>
    <row r="1459" spans="1:1" x14ac:dyDescent="0.2">
      <c r="A1459" s="366"/>
    </row>
    <row r="1460" spans="1:1" x14ac:dyDescent="0.2">
      <c r="A1460" s="366"/>
    </row>
    <row r="1461" spans="1:1" x14ac:dyDescent="0.2">
      <c r="A1461" s="366"/>
    </row>
    <row r="1462" spans="1:1" x14ac:dyDescent="0.2">
      <c r="A1462" s="366"/>
    </row>
    <row r="1463" spans="1:1" x14ac:dyDescent="0.2">
      <c r="A1463" s="366"/>
    </row>
    <row r="1464" spans="1:1" x14ac:dyDescent="0.2">
      <c r="A1464" s="366"/>
    </row>
    <row r="1465" spans="1:1" x14ac:dyDescent="0.2">
      <c r="A1465" s="366"/>
    </row>
    <row r="1466" spans="1:1" x14ac:dyDescent="0.2">
      <c r="A1466" s="366"/>
    </row>
    <row r="1467" spans="1:1" x14ac:dyDescent="0.2">
      <c r="A1467" s="366"/>
    </row>
    <row r="1468" spans="1:1" x14ac:dyDescent="0.2">
      <c r="A1468" s="366"/>
    </row>
    <row r="1469" spans="1:1" x14ac:dyDescent="0.2">
      <c r="A1469" s="366"/>
    </row>
    <row r="1470" spans="1:1" x14ac:dyDescent="0.2">
      <c r="A1470" s="366"/>
    </row>
    <row r="1471" spans="1:1" x14ac:dyDescent="0.2">
      <c r="A1471" s="366"/>
    </row>
    <row r="1472" spans="1:1" x14ac:dyDescent="0.2">
      <c r="A1472" s="366"/>
    </row>
    <row r="1473" spans="1:1" x14ac:dyDescent="0.2">
      <c r="A1473" s="366"/>
    </row>
    <row r="1474" spans="1:1" x14ac:dyDescent="0.2">
      <c r="A1474" s="366"/>
    </row>
    <row r="1475" spans="1:1" x14ac:dyDescent="0.2">
      <c r="A1475" s="366"/>
    </row>
    <row r="1476" spans="1:1" x14ac:dyDescent="0.2">
      <c r="A1476" s="366"/>
    </row>
    <row r="1477" spans="1:1" x14ac:dyDescent="0.2">
      <c r="A1477" s="366"/>
    </row>
    <row r="1478" spans="1:1" x14ac:dyDescent="0.2">
      <c r="A1478" s="366"/>
    </row>
    <row r="1479" spans="1:1" x14ac:dyDescent="0.2">
      <c r="A1479" s="366"/>
    </row>
    <row r="1480" spans="1:1" x14ac:dyDescent="0.2">
      <c r="A1480" s="366"/>
    </row>
    <row r="1481" spans="1:1" x14ac:dyDescent="0.2">
      <c r="A1481" s="366"/>
    </row>
    <row r="1482" spans="1:1" x14ac:dyDescent="0.2">
      <c r="A1482" s="366"/>
    </row>
    <row r="1483" spans="1:1" x14ac:dyDescent="0.2">
      <c r="A1483" s="366"/>
    </row>
    <row r="1484" spans="1:1" x14ac:dyDescent="0.2">
      <c r="A1484" s="366"/>
    </row>
    <row r="1485" spans="1:1" x14ac:dyDescent="0.2">
      <c r="A1485" s="366"/>
    </row>
    <row r="1486" spans="1:1" x14ac:dyDescent="0.2">
      <c r="A1486" s="366"/>
    </row>
    <row r="1487" spans="1:1" x14ac:dyDescent="0.2">
      <c r="A1487" s="366"/>
    </row>
    <row r="1488" spans="1:1" x14ac:dyDescent="0.2">
      <c r="A1488" s="366"/>
    </row>
    <row r="1489" spans="1:1" x14ac:dyDescent="0.2">
      <c r="A1489" s="366"/>
    </row>
    <row r="1490" spans="1:1" x14ac:dyDescent="0.2">
      <c r="A1490" s="366"/>
    </row>
    <row r="1491" spans="1:1" x14ac:dyDescent="0.2">
      <c r="A1491" s="366"/>
    </row>
    <row r="1492" spans="1:1" x14ac:dyDescent="0.2">
      <c r="A1492" s="366"/>
    </row>
    <row r="1493" spans="1:1" x14ac:dyDescent="0.2">
      <c r="A1493" s="366"/>
    </row>
    <row r="1494" spans="1:1" x14ac:dyDescent="0.2">
      <c r="A1494" s="366"/>
    </row>
    <row r="1495" spans="1:1" x14ac:dyDescent="0.2">
      <c r="A1495" s="366"/>
    </row>
    <row r="1496" spans="1:1" x14ac:dyDescent="0.2">
      <c r="A1496" s="366"/>
    </row>
    <row r="1497" spans="1:1" x14ac:dyDescent="0.2">
      <c r="A1497" s="366"/>
    </row>
    <row r="1498" spans="1:1" x14ac:dyDescent="0.2">
      <c r="A1498" s="366"/>
    </row>
    <row r="1499" spans="1:1" x14ac:dyDescent="0.2">
      <c r="A1499" s="366"/>
    </row>
    <row r="1500" spans="1:1" x14ac:dyDescent="0.2">
      <c r="A1500" s="366"/>
    </row>
    <row r="1501" spans="1:1" x14ac:dyDescent="0.2">
      <c r="A1501" s="366"/>
    </row>
    <row r="1502" spans="1:1" x14ac:dyDescent="0.2">
      <c r="A1502" s="366"/>
    </row>
    <row r="1503" spans="1:1" x14ac:dyDescent="0.2">
      <c r="A1503" s="366"/>
    </row>
    <row r="1504" spans="1:1" x14ac:dyDescent="0.2">
      <c r="A1504" s="366"/>
    </row>
    <row r="1505" spans="1:1" x14ac:dyDescent="0.2">
      <c r="A1505" s="366"/>
    </row>
    <row r="1506" spans="1:1" x14ac:dyDescent="0.2">
      <c r="A1506" s="366"/>
    </row>
    <row r="1507" spans="1:1" x14ac:dyDescent="0.2">
      <c r="A1507" s="366"/>
    </row>
    <row r="1508" spans="1:1" x14ac:dyDescent="0.2">
      <c r="A1508" s="366"/>
    </row>
    <row r="1509" spans="1:1" x14ac:dyDescent="0.2">
      <c r="A1509" s="366"/>
    </row>
    <row r="1510" spans="1:1" x14ac:dyDescent="0.2">
      <c r="A1510" s="366"/>
    </row>
    <row r="1511" spans="1:1" x14ac:dyDescent="0.2">
      <c r="A1511" s="366"/>
    </row>
    <row r="1512" spans="1:1" x14ac:dyDescent="0.2">
      <c r="A1512" s="366"/>
    </row>
    <row r="1513" spans="1:1" x14ac:dyDescent="0.2">
      <c r="A1513" s="366"/>
    </row>
    <row r="1514" spans="1:1" x14ac:dyDescent="0.2">
      <c r="A1514" s="366"/>
    </row>
    <row r="1515" spans="1:1" x14ac:dyDescent="0.2">
      <c r="A1515" s="366"/>
    </row>
    <row r="1516" spans="1:1" x14ac:dyDescent="0.2">
      <c r="A1516" s="366"/>
    </row>
    <row r="1517" spans="1:1" x14ac:dyDescent="0.2">
      <c r="A1517" s="366"/>
    </row>
    <row r="1518" spans="1:1" x14ac:dyDescent="0.2">
      <c r="A1518" s="366"/>
    </row>
    <row r="1519" spans="1:1" x14ac:dyDescent="0.2">
      <c r="A1519" s="366"/>
    </row>
    <row r="1520" spans="1:1" x14ac:dyDescent="0.2">
      <c r="A1520" s="366"/>
    </row>
    <row r="1521" spans="1:1" x14ac:dyDescent="0.2">
      <c r="A1521" s="366"/>
    </row>
    <row r="1522" spans="1:1" x14ac:dyDescent="0.2">
      <c r="A1522" s="366"/>
    </row>
    <row r="1523" spans="1:1" x14ac:dyDescent="0.2">
      <c r="A1523" s="366"/>
    </row>
    <row r="1524" spans="1:1" x14ac:dyDescent="0.2">
      <c r="A1524" s="366"/>
    </row>
    <row r="1525" spans="1:1" x14ac:dyDescent="0.2">
      <c r="A1525" s="366"/>
    </row>
    <row r="1526" spans="1:1" x14ac:dyDescent="0.2">
      <c r="A1526" s="366"/>
    </row>
    <row r="1527" spans="1:1" x14ac:dyDescent="0.2">
      <c r="A1527" s="366"/>
    </row>
    <row r="1528" spans="1:1" x14ac:dyDescent="0.2">
      <c r="A1528" s="366"/>
    </row>
    <row r="1529" spans="1:1" x14ac:dyDescent="0.2">
      <c r="A1529" s="366"/>
    </row>
    <row r="1530" spans="1:1" x14ac:dyDescent="0.2">
      <c r="A1530" s="366"/>
    </row>
    <row r="1531" spans="1:1" x14ac:dyDescent="0.2">
      <c r="A1531" s="366"/>
    </row>
    <row r="1532" spans="1:1" x14ac:dyDescent="0.2">
      <c r="A1532" s="366"/>
    </row>
    <row r="1533" spans="1:1" x14ac:dyDescent="0.2">
      <c r="A1533" s="366"/>
    </row>
    <row r="1534" spans="1:1" x14ac:dyDescent="0.2">
      <c r="A1534" s="366"/>
    </row>
    <row r="1535" spans="1:1" x14ac:dyDescent="0.2">
      <c r="A1535" s="366"/>
    </row>
    <row r="1536" spans="1:1" x14ac:dyDescent="0.2">
      <c r="A1536" s="366"/>
    </row>
    <row r="1537" spans="1:1" x14ac:dyDescent="0.2">
      <c r="A1537" s="366"/>
    </row>
    <row r="1538" spans="1:1" x14ac:dyDescent="0.2">
      <c r="A1538" s="366"/>
    </row>
    <row r="1539" spans="1:1" x14ac:dyDescent="0.2">
      <c r="A1539" s="366"/>
    </row>
    <row r="1540" spans="1:1" x14ac:dyDescent="0.2">
      <c r="A1540" s="366"/>
    </row>
    <row r="1541" spans="1:1" x14ac:dyDescent="0.2">
      <c r="A1541" s="366"/>
    </row>
    <row r="1542" spans="1:1" x14ac:dyDescent="0.2">
      <c r="A1542" s="366"/>
    </row>
    <row r="1543" spans="1:1" x14ac:dyDescent="0.2">
      <c r="A1543" s="366"/>
    </row>
    <row r="1544" spans="1:1" x14ac:dyDescent="0.2">
      <c r="A1544" s="366"/>
    </row>
    <row r="1545" spans="1:1" x14ac:dyDescent="0.2">
      <c r="A1545" s="366"/>
    </row>
    <row r="1546" spans="1:1" x14ac:dyDescent="0.2">
      <c r="A1546" s="366"/>
    </row>
    <row r="1547" spans="1:1" x14ac:dyDescent="0.2">
      <c r="A1547" s="366"/>
    </row>
    <row r="1548" spans="1:1" x14ac:dyDescent="0.2">
      <c r="A1548" s="366"/>
    </row>
    <row r="1549" spans="1:1" x14ac:dyDescent="0.2">
      <c r="A1549" s="366"/>
    </row>
    <row r="1550" spans="1:1" x14ac:dyDescent="0.2">
      <c r="A1550" s="366"/>
    </row>
    <row r="1551" spans="1:1" x14ac:dyDescent="0.2">
      <c r="A1551" s="366"/>
    </row>
    <row r="1552" spans="1:1" x14ac:dyDescent="0.2">
      <c r="A1552" s="366"/>
    </row>
    <row r="1553" spans="1:1" x14ac:dyDescent="0.2">
      <c r="A1553" s="366"/>
    </row>
    <row r="1554" spans="1:1" x14ac:dyDescent="0.2">
      <c r="A1554" s="366"/>
    </row>
    <row r="1555" spans="1:1" x14ac:dyDescent="0.2">
      <c r="A1555" s="366"/>
    </row>
    <row r="1556" spans="1:1" x14ac:dyDescent="0.2">
      <c r="A1556" s="366"/>
    </row>
    <row r="1557" spans="1:1" x14ac:dyDescent="0.2">
      <c r="A1557" s="366"/>
    </row>
    <row r="1558" spans="1:1" x14ac:dyDescent="0.2">
      <c r="A1558" s="366"/>
    </row>
    <row r="1559" spans="1:1" x14ac:dyDescent="0.2">
      <c r="A1559" s="366"/>
    </row>
    <row r="1560" spans="1:1" x14ac:dyDescent="0.2">
      <c r="A1560" s="366"/>
    </row>
    <row r="1561" spans="1:1" x14ac:dyDescent="0.2">
      <c r="A1561" s="366"/>
    </row>
    <row r="1562" spans="1:1" x14ac:dyDescent="0.2">
      <c r="A1562" s="366"/>
    </row>
    <row r="1563" spans="1:1" x14ac:dyDescent="0.2">
      <c r="A1563" s="366"/>
    </row>
    <row r="1564" spans="1:1" x14ac:dyDescent="0.2">
      <c r="A1564" s="366"/>
    </row>
    <row r="1565" spans="1:1" x14ac:dyDescent="0.2">
      <c r="A1565" s="366"/>
    </row>
    <row r="1566" spans="1:1" x14ac:dyDescent="0.2">
      <c r="A1566" s="366"/>
    </row>
    <row r="1567" spans="1:1" x14ac:dyDescent="0.2">
      <c r="A1567" s="366"/>
    </row>
    <row r="1568" spans="1:1" x14ac:dyDescent="0.2">
      <c r="A1568" s="366"/>
    </row>
    <row r="1569" spans="1:1" x14ac:dyDescent="0.2">
      <c r="A1569" s="366"/>
    </row>
    <row r="1570" spans="1:1" x14ac:dyDescent="0.2">
      <c r="A1570" s="366"/>
    </row>
    <row r="1571" spans="1:1" x14ac:dyDescent="0.2">
      <c r="A1571" s="366"/>
    </row>
    <row r="1572" spans="1:1" x14ac:dyDescent="0.2">
      <c r="A1572" s="366"/>
    </row>
    <row r="1573" spans="1:1" x14ac:dyDescent="0.2">
      <c r="A1573" s="366"/>
    </row>
    <row r="1574" spans="1:1" x14ac:dyDescent="0.2">
      <c r="A1574" s="366"/>
    </row>
    <row r="1575" spans="1:1" x14ac:dyDescent="0.2">
      <c r="A1575" s="366"/>
    </row>
    <row r="1576" spans="1:1" x14ac:dyDescent="0.2">
      <c r="A1576" s="366"/>
    </row>
    <row r="1577" spans="1:1" x14ac:dyDescent="0.2">
      <c r="A1577" s="366"/>
    </row>
    <row r="1578" spans="1:1" x14ac:dyDescent="0.2">
      <c r="A1578" s="366"/>
    </row>
    <row r="1579" spans="1:1" x14ac:dyDescent="0.2">
      <c r="A1579" s="366"/>
    </row>
    <row r="1580" spans="1:1" x14ac:dyDescent="0.2">
      <c r="A1580" s="366"/>
    </row>
    <row r="1581" spans="1:1" x14ac:dyDescent="0.2">
      <c r="A1581" s="366"/>
    </row>
    <row r="1582" spans="1:1" x14ac:dyDescent="0.2">
      <c r="A1582" s="366"/>
    </row>
    <row r="1583" spans="1:1" x14ac:dyDescent="0.2">
      <c r="A1583" s="366"/>
    </row>
    <row r="1584" spans="1:1" x14ac:dyDescent="0.2">
      <c r="A1584" s="366"/>
    </row>
    <row r="1585" spans="1:1" x14ac:dyDescent="0.2">
      <c r="A1585" s="366"/>
    </row>
    <row r="1586" spans="1:1" x14ac:dyDescent="0.2">
      <c r="A1586" s="366"/>
    </row>
    <row r="1587" spans="1:1" x14ac:dyDescent="0.2">
      <c r="A1587" s="366"/>
    </row>
    <row r="1588" spans="1:1" x14ac:dyDescent="0.2">
      <c r="A1588" s="366"/>
    </row>
    <row r="1589" spans="1:1" x14ac:dyDescent="0.2">
      <c r="A1589" s="366"/>
    </row>
    <row r="1590" spans="1:1" x14ac:dyDescent="0.2">
      <c r="A1590" s="366"/>
    </row>
    <row r="1591" spans="1:1" x14ac:dyDescent="0.2">
      <c r="A1591" s="366"/>
    </row>
    <row r="1592" spans="1:1" x14ac:dyDescent="0.2">
      <c r="A1592" s="366"/>
    </row>
    <row r="1593" spans="1:1" x14ac:dyDescent="0.2">
      <c r="A1593" s="366"/>
    </row>
    <row r="1594" spans="1:1" x14ac:dyDescent="0.2">
      <c r="A1594" s="366"/>
    </row>
    <row r="1595" spans="1:1" x14ac:dyDescent="0.2">
      <c r="A1595" s="366"/>
    </row>
    <row r="1596" spans="1:1" x14ac:dyDescent="0.2">
      <c r="A1596" s="366"/>
    </row>
    <row r="1597" spans="1:1" x14ac:dyDescent="0.2">
      <c r="A1597" s="366"/>
    </row>
    <row r="1598" spans="1:1" x14ac:dyDescent="0.2">
      <c r="A1598" s="366"/>
    </row>
    <row r="1599" spans="1:1" x14ac:dyDescent="0.2">
      <c r="A1599" s="366"/>
    </row>
    <row r="1600" spans="1:1" x14ac:dyDescent="0.2">
      <c r="A1600" s="366"/>
    </row>
    <row r="1601" spans="1:1" x14ac:dyDescent="0.2">
      <c r="A1601" s="366"/>
    </row>
    <row r="1602" spans="1:1" x14ac:dyDescent="0.2">
      <c r="A1602" s="366"/>
    </row>
    <row r="1603" spans="1:1" x14ac:dyDescent="0.2">
      <c r="A1603" s="366"/>
    </row>
    <row r="1604" spans="1:1" x14ac:dyDescent="0.2">
      <c r="A1604" s="366"/>
    </row>
    <row r="1605" spans="1:1" x14ac:dyDescent="0.2">
      <c r="A1605" s="366"/>
    </row>
    <row r="1606" spans="1:1" x14ac:dyDescent="0.2">
      <c r="A1606" s="366"/>
    </row>
    <row r="1607" spans="1:1" x14ac:dyDescent="0.2">
      <c r="A1607" s="366"/>
    </row>
    <row r="1608" spans="1:1" x14ac:dyDescent="0.2">
      <c r="A1608" s="366"/>
    </row>
    <row r="1609" spans="1:1" x14ac:dyDescent="0.2">
      <c r="A1609" s="366"/>
    </row>
    <row r="1610" spans="1:1" x14ac:dyDescent="0.2">
      <c r="A1610" s="366"/>
    </row>
    <row r="1611" spans="1:1" x14ac:dyDescent="0.2">
      <c r="A1611" s="366"/>
    </row>
    <row r="1612" spans="1:1" x14ac:dyDescent="0.2">
      <c r="A1612" s="366"/>
    </row>
    <row r="1613" spans="1:1" x14ac:dyDescent="0.2">
      <c r="A1613" s="366"/>
    </row>
    <row r="1614" spans="1:1" x14ac:dyDescent="0.2">
      <c r="A1614" s="366"/>
    </row>
    <row r="1615" spans="1:1" x14ac:dyDescent="0.2">
      <c r="A1615" s="366"/>
    </row>
    <row r="1616" spans="1:1" x14ac:dyDescent="0.2">
      <c r="A1616" s="366"/>
    </row>
    <row r="1617" spans="1:1" x14ac:dyDescent="0.2">
      <c r="A1617" s="366"/>
    </row>
    <row r="1618" spans="1:1" x14ac:dyDescent="0.2">
      <c r="A1618" s="366"/>
    </row>
    <row r="1619" spans="1:1" x14ac:dyDescent="0.2">
      <c r="A1619" s="366"/>
    </row>
    <row r="1620" spans="1:1" x14ac:dyDescent="0.2">
      <c r="A1620" s="366"/>
    </row>
    <row r="1621" spans="1:1" x14ac:dyDescent="0.2">
      <c r="A1621" s="366"/>
    </row>
    <row r="1622" spans="1:1" x14ac:dyDescent="0.2">
      <c r="A1622" s="366"/>
    </row>
    <row r="1623" spans="1:1" x14ac:dyDescent="0.2">
      <c r="A1623" s="366"/>
    </row>
    <row r="1624" spans="1:1" x14ac:dyDescent="0.2">
      <c r="A1624" s="366"/>
    </row>
    <row r="1625" spans="1:1" x14ac:dyDescent="0.2">
      <c r="A1625" s="366"/>
    </row>
    <row r="1626" spans="1:1" x14ac:dyDescent="0.2">
      <c r="A1626" s="366"/>
    </row>
    <row r="1627" spans="1:1" x14ac:dyDescent="0.2">
      <c r="A1627" s="366"/>
    </row>
    <row r="1628" spans="1:1" x14ac:dyDescent="0.2">
      <c r="A1628" s="366"/>
    </row>
    <row r="1629" spans="1:1" x14ac:dyDescent="0.2">
      <c r="A1629" s="366"/>
    </row>
    <row r="1630" spans="1:1" x14ac:dyDescent="0.2">
      <c r="A1630" s="366"/>
    </row>
    <row r="1631" spans="1:1" x14ac:dyDescent="0.2">
      <c r="A1631" s="366"/>
    </row>
    <row r="1632" spans="1:1" x14ac:dyDescent="0.2">
      <c r="A1632" s="366"/>
    </row>
    <row r="1633" spans="1:1" x14ac:dyDescent="0.2">
      <c r="A1633" s="366"/>
    </row>
    <row r="1634" spans="1:1" x14ac:dyDescent="0.2">
      <c r="A1634" s="366"/>
    </row>
    <row r="1635" spans="1:1" x14ac:dyDescent="0.2">
      <c r="A1635" s="366"/>
    </row>
    <row r="1636" spans="1:1" x14ac:dyDescent="0.2">
      <c r="A1636" s="366"/>
    </row>
    <row r="1637" spans="1:1" x14ac:dyDescent="0.2">
      <c r="A1637" s="366"/>
    </row>
    <row r="1638" spans="1:1" x14ac:dyDescent="0.2">
      <c r="A1638" s="366"/>
    </row>
    <row r="1639" spans="1:1" x14ac:dyDescent="0.2">
      <c r="A1639" s="366"/>
    </row>
    <row r="1640" spans="1:1" x14ac:dyDescent="0.2">
      <c r="A1640" s="366"/>
    </row>
    <row r="1641" spans="1:1" x14ac:dyDescent="0.2">
      <c r="A1641" s="366"/>
    </row>
    <row r="1642" spans="1:1" x14ac:dyDescent="0.2">
      <c r="A1642" s="366"/>
    </row>
    <row r="1643" spans="1:1" x14ac:dyDescent="0.2">
      <c r="A1643" s="366"/>
    </row>
    <row r="1644" spans="1:1" x14ac:dyDescent="0.2">
      <c r="A1644" s="366"/>
    </row>
    <row r="1645" spans="1:1" x14ac:dyDescent="0.2">
      <c r="A1645" s="366"/>
    </row>
    <row r="1646" spans="1:1" x14ac:dyDescent="0.2">
      <c r="A1646" s="366"/>
    </row>
    <row r="1647" spans="1:1" x14ac:dyDescent="0.2">
      <c r="A1647" s="366"/>
    </row>
    <row r="1648" spans="1:1" x14ac:dyDescent="0.2">
      <c r="A1648" s="366"/>
    </row>
    <row r="1649" spans="1:1" x14ac:dyDescent="0.2">
      <c r="A1649" s="366"/>
    </row>
    <row r="1650" spans="1:1" x14ac:dyDescent="0.2">
      <c r="A1650" s="366"/>
    </row>
    <row r="1651" spans="1:1" x14ac:dyDescent="0.2">
      <c r="A1651" s="366"/>
    </row>
    <row r="1652" spans="1:1" x14ac:dyDescent="0.2">
      <c r="A1652" s="366"/>
    </row>
    <row r="1653" spans="1:1" x14ac:dyDescent="0.2">
      <c r="A1653" s="366"/>
    </row>
    <row r="1654" spans="1:1" x14ac:dyDescent="0.2">
      <c r="A1654" s="366"/>
    </row>
    <row r="1655" spans="1:1" x14ac:dyDescent="0.2">
      <c r="A1655" s="366"/>
    </row>
    <row r="1656" spans="1:1" x14ac:dyDescent="0.2">
      <c r="A1656" s="366"/>
    </row>
    <row r="1657" spans="1:1" x14ac:dyDescent="0.2">
      <c r="A1657" s="366"/>
    </row>
    <row r="1658" spans="1:1" x14ac:dyDescent="0.2">
      <c r="A1658" s="366"/>
    </row>
    <row r="1659" spans="1:1" x14ac:dyDescent="0.2">
      <c r="A1659" s="366"/>
    </row>
    <row r="1660" spans="1:1" x14ac:dyDescent="0.2">
      <c r="A1660" s="366"/>
    </row>
    <row r="1661" spans="1:1" x14ac:dyDescent="0.2">
      <c r="A1661" s="366"/>
    </row>
    <row r="1662" spans="1:1" x14ac:dyDescent="0.2">
      <c r="A1662" s="366"/>
    </row>
    <row r="1663" spans="1:1" x14ac:dyDescent="0.2">
      <c r="A1663" s="366"/>
    </row>
    <row r="1664" spans="1:1" x14ac:dyDescent="0.2">
      <c r="A1664" s="366"/>
    </row>
    <row r="1665" spans="1:1" x14ac:dyDescent="0.2">
      <c r="A1665" s="366"/>
    </row>
    <row r="1666" spans="1:1" x14ac:dyDescent="0.2">
      <c r="A1666" s="366"/>
    </row>
    <row r="1667" spans="1:1" x14ac:dyDescent="0.2">
      <c r="A1667" s="366"/>
    </row>
    <row r="1668" spans="1:1" x14ac:dyDescent="0.2">
      <c r="A1668" s="366"/>
    </row>
    <row r="1669" spans="1:1" x14ac:dyDescent="0.2">
      <c r="A1669" s="366"/>
    </row>
    <row r="1670" spans="1:1" x14ac:dyDescent="0.2">
      <c r="A1670" s="366"/>
    </row>
    <row r="1671" spans="1:1" x14ac:dyDescent="0.2">
      <c r="A1671" s="366"/>
    </row>
    <row r="1672" spans="1:1" x14ac:dyDescent="0.2">
      <c r="A1672" s="366"/>
    </row>
    <row r="1673" spans="1:1" x14ac:dyDescent="0.2">
      <c r="A1673" s="366"/>
    </row>
    <row r="1674" spans="1:1" x14ac:dyDescent="0.2">
      <c r="A1674" s="366"/>
    </row>
    <row r="1675" spans="1:1" x14ac:dyDescent="0.2">
      <c r="A1675" s="366"/>
    </row>
    <row r="1676" spans="1:1" x14ac:dyDescent="0.2">
      <c r="A1676" s="366"/>
    </row>
    <row r="1677" spans="1:1" x14ac:dyDescent="0.2">
      <c r="A1677" s="366"/>
    </row>
    <row r="1678" spans="1:1" x14ac:dyDescent="0.2">
      <c r="A1678" s="366"/>
    </row>
    <row r="1679" spans="1:1" x14ac:dyDescent="0.2">
      <c r="A1679" s="366"/>
    </row>
    <row r="1680" spans="1:1" x14ac:dyDescent="0.2">
      <c r="A1680" s="366"/>
    </row>
    <row r="1681" spans="1:1" x14ac:dyDescent="0.2">
      <c r="A1681" s="366"/>
    </row>
    <row r="1682" spans="1:1" x14ac:dyDescent="0.2">
      <c r="A1682" s="366"/>
    </row>
    <row r="1683" spans="1:1" x14ac:dyDescent="0.2">
      <c r="A1683" s="366"/>
    </row>
    <row r="1684" spans="1:1" x14ac:dyDescent="0.2">
      <c r="A1684" s="366"/>
    </row>
    <row r="1685" spans="1:1" x14ac:dyDescent="0.2">
      <c r="A1685" s="366"/>
    </row>
    <row r="1686" spans="1:1" x14ac:dyDescent="0.2">
      <c r="A1686" s="366"/>
    </row>
    <row r="1687" spans="1:1" x14ac:dyDescent="0.2">
      <c r="A1687" s="366"/>
    </row>
    <row r="1688" spans="1:1" x14ac:dyDescent="0.2">
      <c r="A1688" s="366"/>
    </row>
    <row r="1689" spans="1:1" x14ac:dyDescent="0.2">
      <c r="A1689" s="366"/>
    </row>
    <row r="1690" spans="1:1" x14ac:dyDescent="0.2">
      <c r="A1690" s="366"/>
    </row>
    <row r="1691" spans="1:1" x14ac:dyDescent="0.2">
      <c r="A1691" s="366"/>
    </row>
    <row r="1692" spans="1:1" x14ac:dyDescent="0.2">
      <c r="A1692" s="366"/>
    </row>
    <row r="1693" spans="1:1" x14ac:dyDescent="0.2">
      <c r="A1693" s="366"/>
    </row>
    <row r="1694" spans="1:1" x14ac:dyDescent="0.2">
      <c r="A1694" s="366"/>
    </row>
    <row r="1695" spans="1:1" x14ac:dyDescent="0.2">
      <c r="A1695" s="366"/>
    </row>
    <row r="1696" spans="1:1" x14ac:dyDescent="0.2">
      <c r="A1696" s="366"/>
    </row>
    <row r="1697" spans="1:1" x14ac:dyDescent="0.2">
      <c r="A1697" s="366"/>
    </row>
    <row r="1698" spans="1:1" x14ac:dyDescent="0.2">
      <c r="A1698" s="366"/>
    </row>
    <row r="1699" spans="1:1" x14ac:dyDescent="0.2">
      <c r="A1699" s="366"/>
    </row>
    <row r="1700" spans="1:1" x14ac:dyDescent="0.2">
      <c r="A1700" s="366"/>
    </row>
    <row r="1701" spans="1:1" x14ac:dyDescent="0.2">
      <c r="A1701" s="366"/>
    </row>
    <row r="1702" spans="1:1" x14ac:dyDescent="0.2">
      <c r="A1702" s="366"/>
    </row>
    <row r="1703" spans="1:1" x14ac:dyDescent="0.2">
      <c r="A1703" s="366"/>
    </row>
    <row r="1704" spans="1:1" x14ac:dyDescent="0.2">
      <c r="A1704" s="366"/>
    </row>
    <row r="1705" spans="1:1" x14ac:dyDescent="0.2">
      <c r="A1705" s="366"/>
    </row>
    <row r="1706" spans="1:1" x14ac:dyDescent="0.2">
      <c r="A1706" s="366"/>
    </row>
    <row r="1707" spans="1:1" x14ac:dyDescent="0.2">
      <c r="A1707" s="366"/>
    </row>
    <row r="1708" spans="1:1" x14ac:dyDescent="0.2">
      <c r="A1708" s="366"/>
    </row>
    <row r="1709" spans="1:1" x14ac:dyDescent="0.2">
      <c r="A1709" s="366"/>
    </row>
    <row r="1710" spans="1:1" x14ac:dyDescent="0.2">
      <c r="A1710" s="366"/>
    </row>
    <row r="1711" spans="1:1" x14ac:dyDescent="0.2">
      <c r="A1711" s="366"/>
    </row>
    <row r="1712" spans="1:1" x14ac:dyDescent="0.2">
      <c r="A1712" s="366"/>
    </row>
    <row r="1713" spans="1:1" x14ac:dyDescent="0.2">
      <c r="A1713" s="366"/>
    </row>
    <row r="1714" spans="1:1" x14ac:dyDescent="0.2">
      <c r="A1714" s="366"/>
    </row>
    <row r="1715" spans="1:1" x14ac:dyDescent="0.2">
      <c r="A1715" s="366"/>
    </row>
    <row r="1716" spans="1:1" x14ac:dyDescent="0.2">
      <c r="A1716" s="366"/>
    </row>
    <row r="1717" spans="1:1" x14ac:dyDescent="0.2">
      <c r="A1717" s="366"/>
    </row>
    <row r="1718" spans="1:1" x14ac:dyDescent="0.2">
      <c r="A1718" s="366"/>
    </row>
    <row r="1719" spans="1:1" x14ac:dyDescent="0.2">
      <c r="A1719" s="366"/>
    </row>
    <row r="1720" spans="1:1" x14ac:dyDescent="0.2">
      <c r="A1720" s="366"/>
    </row>
    <row r="1721" spans="1:1" x14ac:dyDescent="0.2">
      <c r="A1721" s="366"/>
    </row>
    <row r="1722" spans="1:1" x14ac:dyDescent="0.2">
      <c r="A1722" s="366"/>
    </row>
    <row r="1723" spans="1:1" x14ac:dyDescent="0.2">
      <c r="A1723" s="366"/>
    </row>
    <row r="1724" spans="1:1" x14ac:dyDescent="0.2">
      <c r="A1724" s="366"/>
    </row>
    <row r="1725" spans="1:1" x14ac:dyDescent="0.2">
      <c r="A1725" s="366"/>
    </row>
    <row r="1726" spans="1:1" x14ac:dyDescent="0.2">
      <c r="A1726" s="366"/>
    </row>
    <row r="1727" spans="1:1" x14ac:dyDescent="0.2">
      <c r="A1727" s="366"/>
    </row>
    <row r="1728" spans="1:1" x14ac:dyDescent="0.2">
      <c r="A1728" s="366"/>
    </row>
    <row r="1729" spans="1:1" x14ac:dyDescent="0.2">
      <c r="A1729" s="366"/>
    </row>
    <row r="1730" spans="1:1" x14ac:dyDescent="0.2">
      <c r="A1730" s="366"/>
    </row>
    <row r="1731" spans="1:1" x14ac:dyDescent="0.2">
      <c r="A1731" s="366"/>
    </row>
    <row r="1732" spans="1:1" x14ac:dyDescent="0.2">
      <c r="A1732" s="366"/>
    </row>
    <row r="1733" spans="1:1" x14ac:dyDescent="0.2">
      <c r="A1733" s="366"/>
    </row>
    <row r="1734" spans="1:1" x14ac:dyDescent="0.2">
      <c r="A1734" s="366"/>
    </row>
    <row r="1735" spans="1:1" x14ac:dyDescent="0.2">
      <c r="A1735" s="366"/>
    </row>
    <row r="1736" spans="1:1" x14ac:dyDescent="0.2">
      <c r="A1736" s="366"/>
    </row>
    <row r="1737" spans="1:1" x14ac:dyDescent="0.2">
      <c r="A1737" s="366"/>
    </row>
    <row r="1738" spans="1:1" x14ac:dyDescent="0.2">
      <c r="A1738" s="366"/>
    </row>
    <row r="1739" spans="1:1" x14ac:dyDescent="0.2">
      <c r="A1739" s="366"/>
    </row>
    <row r="1740" spans="1:1" x14ac:dyDescent="0.2">
      <c r="A1740" s="366"/>
    </row>
    <row r="1741" spans="1:1" x14ac:dyDescent="0.2">
      <c r="A1741" s="366"/>
    </row>
    <row r="1742" spans="1:1" x14ac:dyDescent="0.2">
      <c r="A1742" s="366"/>
    </row>
    <row r="1743" spans="1:1" x14ac:dyDescent="0.2">
      <c r="A1743" s="366"/>
    </row>
    <row r="1744" spans="1:1" x14ac:dyDescent="0.2">
      <c r="A1744" s="366"/>
    </row>
    <row r="1745" spans="1:1" x14ac:dyDescent="0.2">
      <c r="A1745" s="366"/>
    </row>
    <row r="1746" spans="1:1" x14ac:dyDescent="0.2">
      <c r="A1746" s="366"/>
    </row>
    <row r="1747" spans="1:1" x14ac:dyDescent="0.2">
      <c r="A1747" s="366"/>
    </row>
    <row r="1748" spans="1:1" x14ac:dyDescent="0.2">
      <c r="A1748" s="366"/>
    </row>
    <row r="1749" spans="1:1" x14ac:dyDescent="0.2">
      <c r="A1749" s="366"/>
    </row>
    <row r="1750" spans="1:1" x14ac:dyDescent="0.2">
      <c r="A1750" s="366"/>
    </row>
    <row r="1751" spans="1:1" x14ac:dyDescent="0.2">
      <c r="A1751" s="366"/>
    </row>
    <row r="1752" spans="1:1" x14ac:dyDescent="0.2">
      <c r="A1752" s="366"/>
    </row>
    <row r="1753" spans="1:1" x14ac:dyDescent="0.2">
      <c r="A1753" s="366"/>
    </row>
    <row r="1754" spans="1:1" x14ac:dyDescent="0.2">
      <c r="A1754" s="366"/>
    </row>
    <row r="1755" spans="1:1" x14ac:dyDescent="0.2">
      <c r="A1755" s="366"/>
    </row>
    <row r="1756" spans="1:1" x14ac:dyDescent="0.2">
      <c r="A1756" s="366"/>
    </row>
    <row r="1757" spans="1:1" x14ac:dyDescent="0.2">
      <c r="A1757" s="366"/>
    </row>
    <row r="1758" spans="1:1" x14ac:dyDescent="0.2">
      <c r="A1758" s="366"/>
    </row>
    <row r="1759" spans="1:1" x14ac:dyDescent="0.2">
      <c r="A1759" s="366"/>
    </row>
    <row r="1760" spans="1:1" x14ac:dyDescent="0.2">
      <c r="A1760" s="366"/>
    </row>
    <row r="1761" spans="1:1" x14ac:dyDescent="0.2">
      <c r="A1761" s="366"/>
    </row>
    <row r="1762" spans="1:1" x14ac:dyDescent="0.2">
      <c r="A1762" s="366"/>
    </row>
    <row r="1763" spans="1:1" x14ac:dyDescent="0.2">
      <c r="A1763" s="366"/>
    </row>
    <row r="1764" spans="1:1" x14ac:dyDescent="0.2">
      <c r="A1764" s="366"/>
    </row>
    <row r="1765" spans="1:1" x14ac:dyDescent="0.2">
      <c r="A1765" s="366"/>
    </row>
    <row r="1766" spans="1:1" x14ac:dyDescent="0.2">
      <c r="A1766" s="366"/>
    </row>
    <row r="1767" spans="1:1" x14ac:dyDescent="0.2">
      <c r="A1767" s="366"/>
    </row>
    <row r="1768" spans="1:1" x14ac:dyDescent="0.2">
      <c r="A1768" s="366"/>
    </row>
    <row r="1769" spans="1:1" x14ac:dyDescent="0.2">
      <c r="A1769" s="366"/>
    </row>
    <row r="1770" spans="1:1" x14ac:dyDescent="0.2">
      <c r="A1770" s="366"/>
    </row>
    <row r="1771" spans="1:1" x14ac:dyDescent="0.2">
      <c r="A1771" s="366"/>
    </row>
    <row r="1772" spans="1:1" x14ac:dyDescent="0.2">
      <c r="A1772" s="366"/>
    </row>
    <row r="1773" spans="1:1" x14ac:dyDescent="0.2">
      <c r="A1773" s="366"/>
    </row>
    <row r="1774" spans="1:1" x14ac:dyDescent="0.2">
      <c r="A1774" s="366"/>
    </row>
    <row r="1775" spans="1:1" x14ac:dyDescent="0.2">
      <c r="A1775" s="366"/>
    </row>
    <row r="1776" spans="1:1" x14ac:dyDescent="0.2">
      <c r="A1776" s="366"/>
    </row>
    <row r="1777" spans="1:1" x14ac:dyDescent="0.2">
      <c r="A1777" s="366"/>
    </row>
    <row r="1778" spans="1:1" x14ac:dyDescent="0.2">
      <c r="A1778" s="366"/>
    </row>
    <row r="1779" spans="1:1" x14ac:dyDescent="0.2">
      <c r="A1779" s="366"/>
    </row>
    <row r="1780" spans="1:1" x14ac:dyDescent="0.2">
      <c r="A1780" s="366"/>
    </row>
    <row r="1781" spans="1:1" x14ac:dyDescent="0.2">
      <c r="A1781" s="366"/>
    </row>
    <row r="1782" spans="1:1" x14ac:dyDescent="0.2">
      <c r="A1782" s="366"/>
    </row>
    <row r="1783" spans="1:1" x14ac:dyDescent="0.2">
      <c r="A1783" s="366"/>
    </row>
    <row r="1784" spans="1:1" x14ac:dyDescent="0.2">
      <c r="A1784" s="366"/>
    </row>
    <row r="1785" spans="1:1" x14ac:dyDescent="0.2">
      <c r="A1785" s="366"/>
    </row>
    <row r="1786" spans="1:1" x14ac:dyDescent="0.2">
      <c r="A1786" s="366"/>
    </row>
    <row r="1787" spans="1:1" x14ac:dyDescent="0.2">
      <c r="A1787" s="366"/>
    </row>
    <row r="1788" spans="1:1" x14ac:dyDescent="0.2">
      <c r="A1788" s="366"/>
    </row>
    <row r="1789" spans="1:1" x14ac:dyDescent="0.2">
      <c r="A1789" s="366"/>
    </row>
    <row r="1790" spans="1:1" x14ac:dyDescent="0.2">
      <c r="A1790" s="366"/>
    </row>
    <row r="1791" spans="1:1" x14ac:dyDescent="0.2">
      <c r="A1791" s="366"/>
    </row>
    <row r="1792" spans="1:1" x14ac:dyDescent="0.2">
      <c r="A1792" s="366"/>
    </row>
    <row r="1793" spans="1:1" x14ac:dyDescent="0.2">
      <c r="A1793" s="366"/>
    </row>
    <row r="1794" spans="1:1" x14ac:dyDescent="0.2">
      <c r="A1794" s="366"/>
    </row>
    <row r="1795" spans="1:1" x14ac:dyDescent="0.2">
      <c r="A1795" s="366"/>
    </row>
    <row r="1796" spans="1:1" x14ac:dyDescent="0.2">
      <c r="A1796" s="366"/>
    </row>
    <row r="1797" spans="1:1" x14ac:dyDescent="0.2">
      <c r="A1797" s="366"/>
    </row>
    <row r="1798" spans="1:1" x14ac:dyDescent="0.2">
      <c r="A1798" s="366"/>
    </row>
    <row r="1799" spans="1:1" x14ac:dyDescent="0.2">
      <c r="A1799" s="366"/>
    </row>
    <row r="1800" spans="1:1" x14ac:dyDescent="0.2">
      <c r="A1800" s="366"/>
    </row>
    <row r="1801" spans="1:1" x14ac:dyDescent="0.2">
      <c r="A1801" s="366"/>
    </row>
    <row r="1802" spans="1:1" x14ac:dyDescent="0.2">
      <c r="A1802" s="366"/>
    </row>
    <row r="1803" spans="1:1" x14ac:dyDescent="0.2">
      <c r="A1803" s="366"/>
    </row>
    <row r="1804" spans="1:1" x14ac:dyDescent="0.2">
      <c r="A1804" s="366"/>
    </row>
    <row r="1805" spans="1:1" x14ac:dyDescent="0.2">
      <c r="A1805" s="366"/>
    </row>
    <row r="1806" spans="1:1" x14ac:dyDescent="0.2">
      <c r="A1806" s="366"/>
    </row>
    <row r="1807" spans="1:1" x14ac:dyDescent="0.2">
      <c r="A1807" s="366"/>
    </row>
    <row r="1808" spans="1:1" x14ac:dyDescent="0.2">
      <c r="A1808" s="366"/>
    </row>
    <row r="1809" spans="1:1" x14ac:dyDescent="0.2">
      <c r="A1809" s="366"/>
    </row>
    <row r="1810" spans="1:1" x14ac:dyDescent="0.2">
      <c r="A1810" s="366"/>
    </row>
    <row r="1811" spans="1:1" x14ac:dyDescent="0.2">
      <c r="A1811" s="366"/>
    </row>
    <row r="1812" spans="1:1" x14ac:dyDescent="0.2">
      <c r="A1812" s="366"/>
    </row>
    <row r="1813" spans="1:1" x14ac:dyDescent="0.2">
      <c r="A1813" s="366"/>
    </row>
    <row r="1814" spans="1:1" x14ac:dyDescent="0.2">
      <c r="A1814" s="366"/>
    </row>
    <row r="1815" spans="1:1" x14ac:dyDescent="0.2">
      <c r="A1815" s="366"/>
    </row>
    <row r="1816" spans="1:1" x14ac:dyDescent="0.2">
      <c r="A1816" s="366"/>
    </row>
    <row r="1817" spans="1:1" x14ac:dyDescent="0.2">
      <c r="A1817" s="366"/>
    </row>
    <row r="1818" spans="1:1" x14ac:dyDescent="0.2">
      <c r="A1818" s="366"/>
    </row>
    <row r="1819" spans="1:1" x14ac:dyDescent="0.2">
      <c r="A1819" s="366"/>
    </row>
    <row r="1820" spans="1:1" x14ac:dyDescent="0.2">
      <c r="A1820" s="366"/>
    </row>
    <row r="1821" spans="1:1" x14ac:dyDescent="0.2">
      <c r="A1821" s="366"/>
    </row>
    <row r="1822" spans="1:1" x14ac:dyDescent="0.2">
      <c r="A1822" s="366"/>
    </row>
    <row r="1823" spans="1:1" x14ac:dyDescent="0.2">
      <c r="A1823" s="366"/>
    </row>
    <row r="1824" spans="1:1" x14ac:dyDescent="0.2">
      <c r="A1824" s="366"/>
    </row>
    <row r="1825" spans="1:1" x14ac:dyDescent="0.2">
      <c r="A1825" s="366"/>
    </row>
    <row r="1826" spans="1:1" x14ac:dyDescent="0.2">
      <c r="A1826" s="366"/>
    </row>
    <row r="1827" spans="1:1" x14ac:dyDescent="0.2">
      <c r="A1827" s="366"/>
    </row>
    <row r="1828" spans="1:1" x14ac:dyDescent="0.2">
      <c r="A1828" s="366"/>
    </row>
    <row r="1829" spans="1:1" x14ac:dyDescent="0.2">
      <c r="A1829" s="366"/>
    </row>
    <row r="1830" spans="1:1" x14ac:dyDescent="0.2">
      <c r="A1830" s="366"/>
    </row>
    <row r="1831" spans="1:1" x14ac:dyDescent="0.2">
      <c r="A1831" s="366"/>
    </row>
    <row r="1832" spans="1:1" x14ac:dyDescent="0.2">
      <c r="A1832" s="366"/>
    </row>
    <row r="1833" spans="1:1" x14ac:dyDescent="0.2">
      <c r="A1833" s="366"/>
    </row>
    <row r="1834" spans="1:1" x14ac:dyDescent="0.2">
      <c r="A1834" s="366"/>
    </row>
    <row r="1835" spans="1:1" x14ac:dyDescent="0.2">
      <c r="A1835" s="366"/>
    </row>
    <row r="1836" spans="1:1" x14ac:dyDescent="0.2">
      <c r="A1836" s="366"/>
    </row>
    <row r="1837" spans="1:1" x14ac:dyDescent="0.2">
      <c r="A1837" s="366"/>
    </row>
    <row r="1838" spans="1:1" x14ac:dyDescent="0.2">
      <c r="A1838" s="366"/>
    </row>
    <row r="1839" spans="1:1" x14ac:dyDescent="0.2">
      <c r="A1839" s="366"/>
    </row>
    <row r="1840" spans="1:1" x14ac:dyDescent="0.2">
      <c r="A1840" s="366"/>
    </row>
    <row r="1841" spans="1:1" x14ac:dyDescent="0.2">
      <c r="A1841" s="366"/>
    </row>
    <row r="1842" spans="1:1" x14ac:dyDescent="0.2">
      <c r="A1842" s="366"/>
    </row>
    <row r="1843" spans="1:1" x14ac:dyDescent="0.2">
      <c r="A1843" s="366"/>
    </row>
    <row r="1844" spans="1:1" x14ac:dyDescent="0.2">
      <c r="A1844" s="366"/>
    </row>
    <row r="1845" spans="1:1" x14ac:dyDescent="0.2">
      <c r="A1845" s="366"/>
    </row>
    <row r="1846" spans="1:1" x14ac:dyDescent="0.2">
      <c r="A1846" s="366"/>
    </row>
    <row r="1847" spans="1:1" x14ac:dyDescent="0.2">
      <c r="A1847" s="366"/>
    </row>
    <row r="1848" spans="1:1" x14ac:dyDescent="0.2">
      <c r="A1848" s="366"/>
    </row>
    <row r="1849" spans="1:1" x14ac:dyDescent="0.2">
      <c r="A1849" s="366"/>
    </row>
    <row r="1850" spans="1:1" x14ac:dyDescent="0.2">
      <c r="A1850" s="366"/>
    </row>
    <row r="1851" spans="1:1" x14ac:dyDescent="0.2">
      <c r="A1851" s="366"/>
    </row>
    <row r="1852" spans="1:1" x14ac:dyDescent="0.2">
      <c r="A1852" s="366"/>
    </row>
    <row r="1853" spans="1:1" x14ac:dyDescent="0.2">
      <c r="A1853" s="366"/>
    </row>
    <row r="1854" spans="1:1" x14ac:dyDescent="0.2">
      <c r="A1854" s="366"/>
    </row>
    <row r="1855" spans="1:1" x14ac:dyDescent="0.2">
      <c r="A1855" s="366"/>
    </row>
    <row r="1856" spans="1:1" x14ac:dyDescent="0.2">
      <c r="A1856" s="366"/>
    </row>
    <row r="1857" spans="1:1" x14ac:dyDescent="0.2">
      <c r="A1857" s="366"/>
    </row>
    <row r="1858" spans="1:1" x14ac:dyDescent="0.2">
      <c r="A1858" s="366"/>
    </row>
    <row r="1859" spans="1:1" x14ac:dyDescent="0.2">
      <c r="A1859" s="366"/>
    </row>
    <row r="1860" spans="1:1" x14ac:dyDescent="0.2">
      <c r="A1860" s="366"/>
    </row>
    <row r="1861" spans="1:1" x14ac:dyDescent="0.2">
      <c r="A1861" s="366"/>
    </row>
    <row r="1862" spans="1:1" x14ac:dyDescent="0.2">
      <c r="A1862" s="366"/>
    </row>
    <row r="1863" spans="1:1" x14ac:dyDescent="0.2">
      <c r="A1863" s="366"/>
    </row>
    <row r="1864" spans="1:1" x14ac:dyDescent="0.2">
      <c r="A1864" s="366"/>
    </row>
    <row r="1865" spans="1:1" x14ac:dyDescent="0.2">
      <c r="A1865" s="366"/>
    </row>
    <row r="1866" spans="1:1" x14ac:dyDescent="0.2">
      <c r="A1866" s="366"/>
    </row>
    <row r="1867" spans="1:1" x14ac:dyDescent="0.2">
      <c r="A1867" s="366"/>
    </row>
    <row r="1868" spans="1:1" x14ac:dyDescent="0.2">
      <c r="A1868" s="366"/>
    </row>
    <row r="1869" spans="1:1" x14ac:dyDescent="0.2">
      <c r="A1869" s="366"/>
    </row>
    <row r="1870" spans="1:1" x14ac:dyDescent="0.2">
      <c r="A1870" s="366"/>
    </row>
    <row r="1871" spans="1:1" x14ac:dyDescent="0.2">
      <c r="A1871" s="366"/>
    </row>
    <row r="1872" spans="1:1" x14ac:dyDescent="0.2">
      <c r="A1872" s="366"/>
    </row>
    <row r="1873" spans="1:1" x14ac:dyDescent="0.2">
      <c r="A1873" s="366"/>
    </row>
    <row r="1874" spans="1:1" x14ac:dyDescent="0.2">
      <c r="A1874" s="366"/>
    </row>
    <row r="1875" spans="1:1" x14ac:dyDescent="0.2">
      <c r="A1875" s="366"/>
    </row>
    <row r="1876" spans="1:1" x14ac:dyDescent="0.2">
      <c r="A1876" s="366"/>
    </row>
    <row r="1877" spans="1:1" x14ac:dyDescent="0.2">
      <c r="A1877" s="366"/>
    </row>
    <row r="1878" spans="1:1" x14ac:dyDescent="0.2">
      <c r="A1878" s="366"/>
    </row>
    <row r="1879" spans="1:1" x14ac:dyDescent="0.2">
      <c r="A1879" s="366"/>
    </row>
    <row r="1880" spans="1:1" x14ac:dyDescent="0.2">
      <c r="A1880" s="366"/>
    </row>
    <row r="1881" spans="1:1" x14ac:dyDescent="0.2">
      <c r="A1881" s="366"/>
    </row>
    <row r="1882" spans="1:1" x14ac:dyDescent="0.2">
      <c r="A1882" s="366"/>
    </row>
    <row r="1883" spans="1:1" x14ac:dyDescent="0.2">
      <c r="A1883" s="366"/>
    </row>
    <row r="1884" spans="1:1" x14ac:dyDescent="0.2">
      <c r="A1884" s="366"/>
    </row>
    <row r="1885" spans="1:1" x14ac:dyDescent="0.2">
      <c r="A1885" s="366"/>
    </row>
    <row r="1886" spans="1:1" x14ac:dyDescent="0.2">
      <c r="A1886" s="366"/>
    </row>
    <row r="1887" spans="1:1" x14ac:dyDescent="0.2">
      <c r="A1887" s="366"/>
    </row>
    <row r="1888" spans="1:1" x14ac:dyDescent="0.2">
      <c r="A1888" s="366"/>
    </row>
    <row r="1889" spans="1:1" x14ac:dyDescent="0.2">
      <c r="A1889" s="366"/>
    </row>
    <row r="1890" spans="1:1" x14ac:dyDescent="0.2">
      <c r="A1890" s="366"/>
    </row>
    <row r="1891" spans="1:1" x14ac:dyDescent="0.2">
      <c r="A1891" s="366"/>
    </row>
    <row r="1892" spans="1:1" x14ac:dyDescent="0.2">
      <c r="A1892" s="366"/>
    </row>
    <row r="1893" spans="1:1" x14ac:dyDescent="0.2">
      <c r="A1893" s="366"/>
    </row>
    <row r="1894" spans="1:1" x14ac:dyDescent="0.2">
      <c r="A1894" s="366"/>
    </row>
    <row r="1895" spans="1:1" x14ac:dyDescent="0.2">
      <c r="A1895" s="366"/>
    </row>
    <row r="1896" spans="1:1" x14ac:dyDescent="0.2">
      <c r="A1896" s="366"/>
    </row>
    <row r="1897" spans="1:1" x14ac:dyDescent="0.2">
      <c r="A1897" s="366"/>
    </row>
    <row r="1898" spans="1:1" x14ac:dyDescent="0.2">
      <c r="A1898" s="366"/>
    </row>
    <row r="1899" spans="1:1" x14ac:dyDescent="0.2">
      <c r="A1899" s="366"/>
    </row>
    <row r="1900" spans="1:1" x14ac:dyDescent="0.2">
      <c r="A1900" s="366"/>
    </row>
    <row r="1901" spans="1:1" x14ac:dyDescent="0.2">
      <c r="A1901" s="366"/>
    </row>
    <row r="1902" spans="1:1" x14ac:dyDescent="0.2">
      <c r="A1902" s="366"/>
    </row>
    <row r="1903" spans="1:1" x14ac:dyDescent="0.2">
      <c r="A1903" s="366"/>
    </row>
    <row r="1904" spans="1:1" x14ac:dyDescent="0.2">
      <c r="A1904" s="366"/>
    </row>
    <row r="1905" spans="1:1" x14ac:dyDescent="0.2">
      <c r="A1905" s="366"/>
    </row>
    <row r="1906" spans="1:1" x14ac:dyDescent="0.2">
      <c r="A1906" s="366"/>
    </row>
    <row r="1907" spans="1:1" x14ac:dyDescent="0.2">
      <c r="A1907" s="366"/>
    </row>
    <row r="1908" spans="1:1" x14ac:dyDescent="0.2">
      <c r="A1908" s="366"/>
    </row>
    <row r="1909" spans="1:1" x14ac:dyDescent="0.2">
      <c r="A1909" s="366"/>
    </row>
    <row r="1910" spans="1:1" x14ac:dyDescent="0.2">
      <c r="A1910" s="366"/>
    </row>
    <row r="1911" spans="1:1" x14ac:dyDescent="0.2">
      <c r="A1911" s="366"/>
    </row>
    <row r="1912" spans="1:1" x14ac:dyDescent="0.2">
      <c r="A1912" s="366"/>
    </row>
    <row r="1913" spans="1:1" x14ac:dyDescent="0.2">
      <c r="A1913" s="366"/>
    </row>
    <row r="1914" spans="1:1" x14ac:dyDescent="0.2">
      <c r="A1914" s="366"/>
    </row>
    <row r="1915" spans="1:1" x14ac:dyDescent="0.2">
      <c r="A1915" s="366"/>
    </row>
    <row r="1916" spans="1:1" x14ac:dyDescent="0.2">
      <c r="A1916" s="366"/>
    </row>
    <row r="1917" spans="1:1" x14ac:dyDescent="0.2">
      <c r="A1917" s="366"/>
    </row>
    <row r="1918" spans="1:1" x14ac:dyDescent="0.2">
      <c r="A1918" s="366"/>
    </row>
    <row r="1919" spans="1:1" x14ac:dyDescent="0.2">
      <c r="A1919" s="366"/>
    </row>
    <row r="1920" spans="1:1" x14ac:dyDescent="0.2">
      <c r="A1920" s="366"/>
    </row>
    <row r="1921" spans="1:1" x14ac:dyDescent="0.2">
      <c r="A1921" s="366"/>
    </row>
    <row r="1922" spans="1:1" x14ac:dyDescent="0.2">
      <c r="A1922" s="366"/>
    </row>
    <row r="1923" spans="1:1" x14ac:dyDescent="0.2">
      <c r="A1923" s="366"/>
    </row>
    <row r="1924" spans="1:1" x14ac:dyDescent="0.2">
      <c r="A1924" s="366"/>
    </row>
    <row r="1925" spans="1:1" x14ac:dyDescent="0.2">
      <c r="A1925" s="366"/>
    </row>
    <row r="1926" spans="1:1" x14ac:dyDescent="0.2">
      <c r="A1926" s="366"/>
    </row>
    <row r="1927" spans="1:1" x14ac:dyDescent="0.2">
      <c r="A1927" s="366"/>
    </row>
    <row r="1928" spans="1:1" x14ac:dyDescent="0.2">
      <c r="A1928" s="366"/>
    </row>
    <row r="1929" spans="1:1" x14ac:dyDescent="0.2">
      <c r="A1929" s="366"/>
    </row>
    <row r="1930" spans="1:1" x14ac:dyDescent="0.2">
      <c r="A1930" s="366"/>
    </row>
    <row r="1931" spans="1:1" x14ac:dyDescent="0.2">
      <c r="A1931" s="366"/>
    </row>
    <row r="1932" spans="1:1" x14ac:dyDescent="0.2">
      <c r="A1932" s="366"/>
    </row>
    <row r="1933" spans="1:1" x14ac:dyDescent="0.2">
      <c r="A1933" s="366"/>
    </row>
    <row r="1934" spans="1:1" x14ac:dyDescent="0.2">
      <c r="A1934" s="366"/>
    </row>
    <row r="1935" spans="1:1" x14ac:dyDescent="0.2">
      <c r="A1935" s="366"/>
    </row>
    <row r="1936" spans="1:1" x14ac:dyDescent="0.2">
      <c r="A1936" s="366"/>
    </row>
    <row r="1937" spans="1:1" x14ac:dyDescent="0.2">
      <c r="A1937" s="366"/>
    </row>
    <row r="1938" spans="1:1" x14ac:dyDescent="0.2">
      <c r="A1938" s="366"/>
    </row>
    <row r="1939" spans="1:1" x14ac:dyDescent="0.2">
      <c r="A1939" s="366"/>
    </row>
    <row r="1940" spans="1:1" x14ac:dyDescent="0.2">
      <c r="A1940" s="366"/>
    </row>
    <row r="1941" spans="1:1" x14ac:dyDescent="0.2">
      <c r="A1941" s="366"/>
    </row>
    <row r="1942" spans="1:1" x14ac:dyDescent="0.2">
      <c r="A1942" s="366"/>
    </row>
    <row r="1943" spans="1:1" x14ac:dyDescent="0.2">
      <c r="A1943" s="366"/>
    </row>
    <row r="1944" spans="1:1" x14ac:dyDescent="0.2">
      <c r="A1944" s="366"/>
    </row>
    <row r="1945" spans="1:1" x14ac:dyDescent="0.2">
      <c r="A1945" s="366"/>
    </row>
    <row r="1946" spans="1:1" x14ac:dyDescent="0.2">
      <c r="A1946" s="366"/>
    </row>
    <row r="1947" spans="1:1" x14ac:dyDescent="0.2">
      <c r="A1947" s="366"/>
    </row>
    <row r="1948" spans="1:1" x14ac:dyDescent="0.2">
      <c r="A1948" s="366"/>
    </row>
    <row r="1949" spans="1:1" x14ac:dyDescent="0.2">
      <c r="A1949" s="366"/>
    </row>
    <row r="1950" spans="1:1" x14ac:dyDescent="0.2">
      <c r="A1950" s="366"/>
    </row>
    <row r="1951" spans="1:1" x14ac:dyDescent="0.2">
      <c r="A1951" s="366"/>
    </row>
    <row r="1952" spans="1:1" x14ac:dyDescent="0.2">
      <c r="A1952" s="366"/>
    </row>
    <row r="1953" spans="1:1" x14ac:dyDescent="0.2">
      <c r="A1953" s="366"/>
    </row>
    <row r="1954" spans="1:1" x14ac:dyDescent="0.2">
      <c r="A1954" s="366"/>
    </row>
    <row r="1955" spans="1:1" x14ac:dyDescent="0.2">
      <c r="A1955" s="366"/>
    </row>
    <row r="1956" spans="1:1" x14ac:dyDescent="0.2">
      <c r="A1956" s="366"/>
    </row>
    <row r="1957" spans="1:1" x14ac:dyDescent="0.2">
      <c r="A1957" s="366"/>
    </row>
    <row r="1958" spans="1:1" x14ac:dyDescent="0.2">
      <c r="A1958" s="366"/>
    </row>
    <row r="1959" spans="1:1" x14ac:dyDescent="0.2">
      <c r="A1959" s="366"/>
    </row>
    <row r="1960" spans="1:1" x14ac:dyDescent="0.2">
      <c r="A1960" s="366"/>
    </row>
    <row r="1961" spans="1:1" x14ac:dyDescent="0.2">
      <c r="A1961" s="366"/>
    </row>
    <row r="1962" spans="1:1" x14ac:dyDescent="0.2">
      <c r="A1962" s="366"/>
    </row>
    <row r="1963" spans="1:1" x14ac:dyDescent="0.2">
      <c r="A1963" s="366"/>
    </row>
    <row r="1964" spans="1:1" x14ac:dyDescent="0.2">
      <c r="A1964" s="366"/>
    </row>
    <row r="1965" spans="1:1" x14ac:dyDescent="0.2">
      <c r="A1965" s="366"/>
    </row>
    <row r="1966" spans="1:1" x14ac:dyDescent="0.2">
      <c r="A1966" s="366"/>
    </row>
    <row r="1967" spans="1:1" x14ac:dyDescent="0.2">
      <c r="A1967" s="366"/>
    </row>
    <row r="1968" spans="1:1" x14ac:dyDescent="0.2">
      <c r="A1968" s="366"/>
    </row>
    <row r="1969" spans="1:1" x14ac:dyDescent="0.2">
      <c r="A1969" s="366"/>
    </row>
    <row r="1970" spans="1:1" x14ac:dyDescent="0.2">
      <c r="A1970" s="366"/>
    </row>
    <row r="1971" spans="1:1" x14ac:dyDescent="0.2">
      <c r="A1971" s="366"/>
    </row>
    <row r="1972" spans="1:1" x14ac:dyDescent="0.2">
      <c r="A1972" s="366"/>
    </row>
    <row r="1973" spans="1:1" x14ac:dyDescent="0.2">
      <c r="A1973" s="366"/>
    </row>
    <row r="1974" spans="1:1" x14ac:dyDescent="0.2">
      <c r="A1974" s="366"/>
    </row>
    <row r="1975" spans="1:1" x14ac:dyDescent="0.2">
      <c r="A1975" s="366"/>
    </row>
    <row r="1976" spans="1:1" x14ac:dyDescent="0.2">
      <c r="A1976" s="366"/>
    </row>
    <row r="1977" spans="1:1" x14ac:dyDescent="0.2">
      <c r="A1977" s="366"/>
    </row>
    <row r="1978" spans="1:1" x14ac:dyDescent="0.2">
      <c r="A1978" s="366"/>
    </row>
    <row r="1979" spans="1:1" x14ac:dyDescent="0.2">
      <c r="A1979" s="366"/>
    </row>
    <row r="1980" spans="1:1" x14ac:dyDescent="0.2">
      <c r="A1980" s="366"/>
    </row>
    <row r="1981" spans="1:1" x14ac:dyDescent="0.2">
      <c r="A1981" s="366"/>
    </row>
    <row r="1982" spans="1:1" x14ac:dyDescent="0.2">
      <c r="A1982" s="366"/>
    </row>
    <row r="1983" spans="1:1" x14ac:dyDescent="0.2">
      <c r="A1983" s="366"/>
    </row>
    <row r="1984" spans="1:1" x14ac:dyDescent="0.2">
      <c r="A1984" s="366"/>
    </row>
    <row r="1985" spans="1:1" x14ac:dyDescent="0.2">
      <c r="A1985" s="366"/>
    </row>
    <row r="1986" spans="1:1" x14ac:dyDescent="0.2">
      <c r="A1986" s="366"/>
    </row>
    <row r="1987" spans="1:1" x14ac:dyDescent="0.2">
      <c r="A1987" s="366"/>
    </row>
    <row r="1988" spans="1:1" x14ac:dyDescent="0.2">
      <c r="A1988" s="366"/>
    </row>
    <row r="1989" spans="1:1" x14ac:dyDescent="0.2">
      <c r="A1989" s="366"/>
    </row>
    <row r="1990" spans="1:1" x14ac:dyDescent="0.2">
      <c r="A1990" s="366"/>
    </row>
    <row r="1991" spans="1:1" x14ac:dyDescent="0.2">
      <c r="A1991" s="366"/>
    </row>
    <row r="1992" spans="1:1" x14ac:dyDescent="0.2">
      <c r="A1992" s="366"/>
    </row>
    <row r="1993" spans="1:1" x14ac:dyDescent="0.2">
      <c r="A1993" s="366"/>
    </row>
    <row r="1994" spans="1:1" x14ac:dyDescent="0.2">
      <c r="A1994" s="366"/>
    </row>
    <row r="1995" spans="1:1" x14ac:dyDescent="0.2">
      <c r="A1995" s="366"/>
    </row>
    <row r="1996" spans="1:1" x14ac:dyDescent="0.2">
      <c r="A1996" s="366"/>
    </row>
    <row r="1997" spans="1:1" x14ac:dyDescent="0.2">
      <c r="A1997" s="366"/>
    </row>
    <row r="1998" spans="1:1" x14ac:dyDescent="0.2">
      <c r="A1998" s="366"/>
    </row>
    <row r="1999" spans="1:1" x14ac:dyDescent="0.2">
      <c r="A1999" s="366"/>
    </row>
    <row r="2000" spans="1:1" x14ac:dyDescent="0.2">
      <c r="A2000" s="366"/>
    </row>
    <row r="2001" spans="1:1" x14ac:dyDescent="0.2">
      <c r="A2001" s="366"/>
    </row>
    <row r="2002" spans="1:1" x14ac:dyDescent="0.2">
      <c r="A2002" s="366"/>
    </row>
    <row r="2003" spans="1:1" x14ac:dyDescent="0.2">
      <c r="A2003" s="366"/>
    </row>
    <row r="2004" spans="1:1" x14ac:dyDescent="0.2">
      <c r="A2004" s="366"/>
    </row>
    <row r="2005" spans="1:1" x14ac:dyDescent="0.2">
      <c r="A2005" s="366"/>
    </row>
    <row r="2006" spans="1:1" x14ac:dyDescent="0.2">
      <c r="A2006" s="366"/>
    </row>
    <row r="2007" spans="1:1" x14ac:dyDescent="0.2">
      <c r="A2007" s="366"/>
    </row>
    <row r="2008" spans="1:1" x14ac:dyDescent="0.2">
      <c r="A2008" s="366"/>
    </row>
    <row r="2009" spans="1:1" x14ac:dyDescent="0.2">
      <c r="A2009" s="366"/>
    </row>
    <row r="2010" spans="1:1" x14ac:dyDescent="0.2">
      <c r="A2010" s="366"/>
    </row>
    <row r="2011" spans="1:1" x14ac:dyDescent="0.2">
      <c r="A2011" s="366"/>
    </row>
    <row r="2012" spans="1:1" x14ac:dyDescent="0.2">
      <c r="A2012" s="366"/>
    </row>
    <row r="2013" spans="1:1" x14ac:dyDescent="0.2">
      <c r="A2013" s="366"/>
    </row>
    <row r="2014" spans="1:1" x14ac:dyDescent="0.2">
      <c r="A2014" s="366"/>
    </row>
    <row r="2015" spans="1:1" x14ac:dyDescent="0.2">
      <c r="A2015" s="366"/>
    </row>
    <row r="2016" spans="1:1" x14ac:dyDescent="0.2">
      <c r="A2016" s="366"/>
    </row>
    <row r="2017" spans="1:1" x14ac:dyDescent="0.2">
      <c r="A2017" s="366"/>
    </row>
    <row r="2018" spans="1:1" x14ac:dyDescent="0.2">
      <c r="A2018" s="366"/>
    </row>
    <row r="2019" spans="1:1" x14ac:dyDescent="0.2">
      <c r="A2019" s="366"/>
    </row>
    <row r="2020" spans="1:1" x14ac:dyDescent="0.2">
      <c r="A2020" s="366"/>
    </row>
    <row r="2021" spans="1:1" x14ac:dyDescent="0.2">
      <c r="A2021" s="366"/>
    </row>
    <row r="2022" spans="1:1" x14ac:dyDescent="0.2">
      <c r="A2022" s="366"/>
    </row>
    <row r="2023" spans="1:1" x14ac:dyDescent="0.2">
      <c r="A2023" s="366"/>
    </row>
    <row r="2024" spans="1:1" x14ac:dyDescent="0.2">
      <c r="A2024" s="366"/>
    </row>
    <row r="2025" spans="1:1" x14ac:dyDescent="0.2">
      <c r="A2025" s="366"/>
    </row>
    <row r="2026" spans="1:1" x14ac:dyDescent="0.2">
      <c r="A2026" s="366"/>
    </row>
    <row r="2027" spans="1:1" x14ac:dyDescent="0.2">
      <c r="A2027" s="366"/>
    </row>
    <row r="2028" spans="1:1" x14ac:dyDescent="0.2">
      <c r="A2028" s="366"/>
    </row>
    <row r="2029" spans="1:1" x14ac:dyDescent="0.2">
      <c r="A2029" s="366"/>
    </row>
    <row r="2030" spans="1:1" x14ac:dyDescent="0.2">
      <c r="A2030" s="366"/>
    </row>
    <row r="2031" spans="1:1" x14ac:dyDescent="0.2">
      <c r="A2031" s="366"/>
    </row>
    <row r="2032" spans="1:1" x14ac:dyDescent="0.2">
      <c r="A2032" s="366"/>
    </row>
    <row r="2033" spans="1:1" x14ac:dyDescent="0.2">
      <c r="A2033" s="366"/>
    </row>
    <row r="2034" spans="1:1" x14ac:dyDescent="0.2">
      <c r="A2034" s="366"/>
    </row>
    <row r="2035" spans="1:1" x14ac:dyDescent="0.2">
      <c r="A2035" s="366"/>
    </row>
    <row r="2036" spans="1:1" x14ac:dyDescent="0.2">
      <c r="A2036" s="366"/>
    </row>
    <row r="2037" spans="1:1" x14ac:dyDescent="0.2">
      <c r="A2037" s="366"/>
    </row>
    <row r="2038" spans="1:1" x14ac:dyDescent="0.2">
      <c r="A2038" s="366"/>
    </row>
    <row r="2039" spans="1:1" x14ac:dyDescent="0.2">
      <c r="A2039" s="366"/>
    </row>
    <row r="2040" spans="1:1" x14ac:dyDescent="0.2">
      <c r="A2040" s="366"/>
    </row>
    <row r="2041" spans="1:1" x14ac:dyDescent="0.2">
      <c r="A2041" s="366"/>
    </row>
    <row r="2042" spans="1:1" x14ac:dyDescent="0.2">
      <c r="A2042" s="366"/>
    </row>
    <row r="2043" spans="1:1" x14ac:dyDescent="0.2">
      <c r="A2043" s="366"/>
    </row>
    <row r="2044" spans="1:1" x14ac:dyDescent="0.2">
      <c r="A2044" s="366"/>
    </row>
    <row r="2045" spans="1:1" x14ac:dyDescent="0.2">
      <c r="A2045" s="366"/>
    </row>
    <row r="2046" spans="1:1" x14ac:dyDescent="0.2">
      <c r="A2046" s="366"/>
    </row>
    <row r="2047" spans="1:1" x14ac:dyDescent="0.2">
      <c r="A2047" s="366"/>
    </row>
    <row r="2048" spans="1:1" x14ac:dyDescent="0.2">
      <c r="A2048" s="366"/>
    </row>
    <row r="2049" spans="1:1" x14ac:dyDescent="0.2">
      <c r="A2049" s="366"/>
    </row>
    <row r="2050" spans="1:1" x14ac:dyDescent="0.2">
      <c r="A2050" s="366"/>
    </row>
    <row r="2051" spans="1:1" x14ac:dyDescent="0.2">
      <c r="A2051" s="366"/>
    </row>
    <row r="2052" spans="1:1" x14ac:dyDescent="0.2">
      <c r="A2052" s="366"/>
    </row>
    <row r="2053" spans="1:1" x14ac:dyDescent="0.2">
      <c r="A2053" s="366"/>
    </row>
    <row r="2054" spans="1:1" x14ac:dyDescent="0.2">
      <c r="A2054" s="366"/>
    </row>
    <row r="2055" spans="1:1" x14ac:dyDescent="0.2">
      <c r="A2055" s="366"/>
    </row>
    <row r="2056" spans="1:1" x14ac:dyDescent="0.2">
      <c r="A2056" s="366"/>
    </row>
    <row r="2057" spans="1:1" x14ac:dyDescent="0.2">
      <c r="A2057" s="366"/>
    </row>
    <row r="2058" spans="1:1" x14ac:dyDescent="0.2">
      <c r="A2058" s="366"/>
    </row>
    <row r="2059" spans="1:1" x14ac:dyDescent="0.2">
      <c r="A2059" s="366"/>
    </row>
    <row r="2060" spans="1:1" x14ac:dyDescent="0.2">
      <c r="A2060" s="366"/>
    </row>
    <row r="2061" spans="1:1" x14ac:dyDescent="0.2">
      <c r="A2061" s="366"/>
    </row>
    <row r="2062" spans="1:1" x14ac:dyDescent="0.2">
      <c r="A2062" s="366"/>
    </row>
    <row r="2063" spans="1:1" x14ac:dyDescent="0.2">
      <c r="A2063" s="366"/>
    </row>
    <row r="2064" spans="1:1" x14ac:dyDescent="0.2">
      <c r="A2064" s="366"/>
    </row>
    <row r="2065" spans="1:1" x14ac:dyDescent="0.2">
      <c r="A2065" s="366"/>
    </row>
    <row r="2066" spans="1:1" x14ac:dyDescent="0.2">
      <c r="A2066" s="366"/>
    </row>
    <row r="2067" spans="1:1" x14ac:dyDescent="0.2">
      <c r="A2067" s="366"/>
    </row>
    <row r="2068" spans="1:1" x14ac:dyDescent="0.2">
      <c r="A2068" s="366"/>
    </row>
    <row r="2069" spans="1:1" x14ac:dyDescent="0.2">
      <c r="A2069" s="366"/>
    </row>
    <row r="2070" spans="1:1" x14ac:dyDescent="0.2">
      <c r="A2070" s="366"/>
    </row>
    <row r="2071" spans="1:1" x14ac:dyDescent="0.2">
      <c r="A2071" s="366"/>
    </row>
    <row r="2072" spans="1:1" x14ac:dyDescent="0.2">
      <c r="A2072" s="366"/>
    </row>
    <row r="2073" spans="1:1" x14ac:dyDescent="0.2">
      <c r="A2073" s="366"/>
    </row>
    <row r="2074" spans="1:1" x14ac:dyDescent="0.2">
      <c r="A2074" s="366"/>
    </row>
    <row r="2075" spans="1:1" x14ac:dyDescent="0.2">
      <c r="A2075" s="366"/>
    </row>
    <row r="2076" spans="1:1" x14ac:dyDescent="0.2">
      <c r="A2076" s="366"/>
    </row>
    <row r="2077" spans="1:1" x14ac:dyDescent="0.2">
      <c r="A2077" s="366"/>
    </row>
    <row r="2078" spans="1:1" x14ac:dyDescent="0.2">
      <c r="A2078" s="366"/>
    </row>
    <row r="2079" spans="1:1" x14ac:dyDescent="0.2">
      <c r="A2079" s="366"/>
    </row>
    <row r="2080" spans="1:1" x14ac:dyDescent="0.2">
      <c r="A2080" s="366"/>
    </row>
    <row r="2081" spans="1:1" x14ac:dyDescent="0.2">
      <c r="A2081" s="366"/>
    </row>
    <row r="2082" spans="1:1" x14ac:dyDescent="0.2">
      <c r="A2082" s="366"/>
    </row>
    <row r="2083" spans="1:1" x14ac:dyDescent="0.2">
      <c r="A2083" s="366"/>
    </row>
    <row r="2084" spans="1:1" x14ac:dyDescent="0.2">
      <c r="A2084" s="366"/>
    </row>
    <row r="2085" spans="1:1" x14ac:dyDescent="0.2">
      <c r="A2085" s="366"/>
    </row>
    <row r="2086" spans="1:1" x14ac:dyDescent="0.2">
      <c r="A2086" s="366"/>
    </row>
    <row r="2087" spans="1:1" x14ac:dyDescent="0.2">
      <c r="A2087" s="366"/>
    </row>
    <row r="2088" spans="1:1" x14ac:dyDescent="0.2">
      <c r="A2088" s="366"/>
    </row>
    <row r="2089" spans="1:1" x14ac:dyDescent="0.2">
      <c r="A2089" s="366"/>
    </row>
    <row r="2090" spans="1:1" x14ac:dyDescent="0.2">
      <c r="A2090" s="366"/>
    </row>
    <row r="2091" spans="1:1" x14ac:dyDescent="0.2">
      <c r="A2091" s="366"/>
    </row>
    <row r="2092" spans="1:1" x14ac:dyDescent="0.2">
      <c r="A2092" s="366"/>
    </row>
    <row r="2093" spans="1:1" x14ac:dyDescent="0.2">
      <c r="A2093" s="366"/>
    </row>
    <row r="2094" spans="1:1" x14ac:dyDescent="0.2">
      <c r="A2094" s="366"/>
    </row>
    <row r="2095" spans="1:1" x14ac:dyDescent="0.2">
      <c r="A2095" s="366"/>
    </row>
    <row r="2096" spans="1:1" x14ac:dyDescent="0.2">
      <c r="A2096" s="366"/>
    </row>
    <row r="2097" spans="1:1" x14ac:dyDescent="0.2">
      <c r="A2097" s="366"/>
    </row>
    <row r="2098" spans="1:1" x14ac:dyDescent="0.2">
      <c r="A2098" s="366"/>
    </row>
    <row r="2099" spans="1:1" x14ac:dyDescent="0.2">
      <c r="A2099" s="366"/>
    </row>
    <row r="2100" spans="1:1" x14ac:dyDescent="0.2">
      <c r="A2100" s="366"/>
    </row>
    <row r="2101" spans="1:1" x14ac:dyDescent="0.2">
      <c r="A2101" s="366"/>
    </row>
    <row r="2102" spans="1:1" x14ac:dyDescent="0.2">
      <c r="A2102" s="366"/>
    </row>
    <row r="2103" spans="1:1" x14ac:dyDescent="0.2">
      <c r="A2103" s="366"/>
    </row>
    <row r="2104" spans="1:1" x14ac:dyDescent="0.2">
      <c r="A2104" s="366"/>
    </row>
    <row r="2105" spans="1:1" x14ac:dyDescent="0.2">
      <c r="A2105" s="366"/>
    </row>
    <row r="2106" spans="1:1" x14ac:dyDescent="0.2">
      <c r="A2106" s="366"/>
    </row>
    <row r="2107" spans="1:1" x14ac:dyDescent="0.2">
      <c r="A2107" s="366"/>
    </row>
    <row r="2108" spans="1:1" x14ac:dyDescent="0.2">
      <c r="A2108" s="366"/>
    </row>
    <row r="2109" spans="1:1" x14ac:dyDescent="0.2">
      <c r="A2109" s="366"/>
    </row>
    <row r="2110" spans="1:1" x14ac:dyDescent="0.2">
      <c r="A2110" s="366"/>
    </row>
    <row r="2111" spans="1:1" x14ac:dyDescent="0.2">
      <c r="A2111" s="366"/>
    </row>
    <row r="2112" spans="1:1" x14ac:dyDescent="0.2">
      <c r="A2112" s="366"/>
    </row>
    <row r="2113" spans="1:1" x14ac:dyDescent="0.2">
      <c r="A2113" s="366"/>
    </row>
    <row r="2114" spans="1:1" x14ac:dyDescent="0.2">
      <c r="A2114" s="366"/>
    </row>
    <row r="2115" spans="1:1" x14ac:dyDescent="0.2">
      <c r="A2115" s="366"/>
    </row>
    <row r="2116" spans="1:1" x14ac:dyDescent="0.2">
      <c r="A2116" s="366"/>
    </row>
    <row r="2117" spans="1:1" x14ac:dyDescent="0.2">
      <c r="A2117" s="366"/>
    </row>
    <row r="2118" spans="1:1" x14ac:dyDescent="0.2">
      <c r="A2118" s="366"/>
    </row>
    <row r="2119" spans="1:1" x14ac:dyDescent="0.2">
      <c r="A2119" s="366"/>
    </row>
    <row r="2120" spans="1:1" x14ac:dyDescent="0.2">
      <c r="A2120" s="366"/>
    </row>
    <row r="2121" spans="1:1" x14ac:dyDescent="0.2">
      <c r="A2121" s="366"/>
    </row>
    <row r="2122" spans="1:1" x14ac:dyDescent="0.2">
      <c r="A2122" s="366"/>
    </row>
    <row r="2123" spans="1:1" x14ac:dyDescent="0.2">
      <c r="A2123" s="366"/>
    </row>
    <row r="2124" spans="1:1" x14ac:dyDescent="0.2">
      <c r="A2124" s="366"/>
    </row>
    <row r="2125" spans="1:1" x14ac:dyDescent="0.2">
      <c r="A2125" s="366"/>
    </row>
    <row r="2126" spans="1:1" x14ac:dyDescent="0.2">
      <c r="A2126" s="366"/>
    </row>
    <row r="2127" spans="1:1" x14ac:dyDescent="0.2">
      <c r="A2127" s="366"/>
    </row>
    <row r="2128" spans="1:1" x14ac:dyDescent="0.2">
      <c r="A2128" s="366"/>
    </row>
    <row r="2129" spans="1:1" x14ac:dyDescent="0.2">
      <c r="A2129" s="366"/>
    </row>
    <row r="2130" spans="1:1" x14ac:dyDescent="0.2">
      <c r="A2130" s="366"/>
    </row>
    <row r="2131" spans="1:1" x14ac:dyDescent="0.2">
      <c r="A2131" s="366"/>
    </row>
    <row r="2132" spans="1:1" x14ac:dyDescent="0.2">
      <c r="A2132" s="366"/>
    </row>
    <row r="2133" spans="1:1" x14ac:dyDescent="0.2">
      <c r="A2133" s="366"/>
    </row>
    <row r="2134" spans="1:1" x14ac:dyDescent="0.2">
      <c r="A2134" s="366"/>
    </row>
    <row r="2135" spans="1:1" x14ac:dyDescent="0.2">
      <c r="A2135" s="366"/>
    </row>
    <row r="2136" spans="1:1" x14ac:dyDescent="0.2">
      <c r="A2136" s="366"/>
    </row>
    <row r="2137" spans="1:1" x14ac:dyDescent="0.2">
      <c r="A2137" s="366"/>
    </row>
    <row r="2138" spans="1:1" x14ac:dyDescent="0.2">
      <c r="A2138" s="366"/>
    </row>
    <row r="2139" spans="1:1" x14ac:dyDescent="0.2">
      <c r="A2139" s="366"/>
    </row>
    <row r="2140" spans="1:1" x14ac:dyDescent="0.2">
      <c r="A2140" s="366"/>
    </row>
    <row r="2141" spans="1:1" x14ac:dyDescent="0.2">
      <c r="A2141" s="366"/>
    </row>
    <row r="2142" spans="1:1" x14ac:dyDescent="0.2">
      <c r="A2142" s="366"/>
    </row>
    <row r="2143" spans="1:1" x14ac:dyDescent="0.2">
      <c r="A2143" s="366"/>
    </row>
    <row r="2144" spans="1:1" x14ac:dyDescent="0.2">
      <c r="A2144" s="366"/>
    </row>
    <row r="2145" spans="1:1" x14ac:dyDescent="0.2">
      <c r="A2145" s="366"/>
    </row>
    <row r="2146" spans="1:1" x14ac:dyDescent="0.2">
      <c r="A2146" s="366"/>
    </row>
    <row r="2147" spans="1:1" x14ac:dyDescent="0.2">
      <c r="A2147" s="366"/>
    </row>
    <row r="2148" spans="1:1" x14ac:dyDescent="0.2">
      <c r="A2148" s="366"/>
    </row>
    <row r="2149" spans="1:1" x14ac:dyDescent="0.2">
      <c r="A2149" s="366"/>
    </row>
    <row r="2150" spans="1:1" x14ac:dyDescent="0.2">
      <c r="A2150" s="366"/>
    </row>
    <row r="2151" spans="1:1" x14ac:dyDescent="0.2">
      <c r="A2151" s="366"/>
    </row>
    <row r="2152" spans="1:1" x14ac:dyDescent="0.2">
      <c r="A2152" s="366"/>
    </row>
    <row r="2153" spans="1:1" x14ac:dyDescent="0.2">
      <c r="A2153" s="366"/>
    </row>
    <row r="2154" spans="1:1" x14ac:dyDescent="0.2">
      <c r="A2154" s="366"/>
    </row>
    <row r="2155" spans="1:1" x14ac:dyDescent="0.2">
      <c r="A2155" s="366"/>
    </row>
    <row r="2156" spans="1:1" x14ac:dyDescent="0.2">
      <c r="A2156" s="366"/>
    </row>
    <row r="2157" spans="1:1" x14ac:dyDescent="0.2">
      <c r="A2157" s="366"/>
    </row>
    <row r="2158" spans="1:1" x14ac:dyDescent="0.2">
      <c r="A2158" s="366"/>
    </row>
    <row r="2159" spans="1:1" x14ac:dyDescent="0.2">
      <c r="A2159" s="366"/>
    </row>
    <row r="2160" spans="1:1" x14ac:dyDescent="0.2">
      <c r="A2160" s="366"/>
    </row>
    <row r="2161" spans="1:1" x14ac:dyDescent="0.2">
      <c r="A2161" s="366"/>
    </row>
    <row r="2162" spans="1:1" x14ac:dyDescent="0.2">
      <c r="A2162" s="366"/>
    </row>
    <row r="2163" spans="1:1" x14ac:dyDescent="0.2">
      <c r="A2163" s="366"/>
    </row>
    <row r="2164" spans="1:1" x14ac:dyDescent="0.2">
      <c r="A2164" s="366"/>
    </row>
    <row r="2165" spans="1:1" x14ac:dyDescent="0.2">
      <c r="A2165" s="366"/>
    </row>
    <row r="2166" spans="1:1" x14ac:dyDescent="0.2">
      <c r="A2166" s="366"/>
    </row>
    <row r="2167" spans="1:1" x14ac:dyDescent="0.2">
      <c r="A2167" s="366"/>
    </row>
    <row r="2168" spans="1:1" x14ac:dyDescent="0.2">
      <c r="A2168" s="366"/>
    </row>
    <row r="2169" spans="1:1" x14ac:dyDescent="0.2">
      <c r="A2169" s="366"/>
    </row>
    <row r="2170" spans="1:1" x14ac:dyDescent="0.2">
      <c r="A2170" s="366"/>
    </row>
    <row r="2171" spans="1:1" x14ac:dyDescent="0.2">
      <c r="A2171" s="366"/>
    </row>
    <row r="2172" spans="1:1" x14ac:dyDescent="0.2">
      <c r="A2172" s="366"/>
    </row>
    <row r="2173" spans="1:1" x14ac:dyDescent="0.2">
      <c r="A2173" s="366"/>
    </row>
    <row r="2174" spans="1:1" x14ac:dyDescent="0.2">
      <c r="A2174" s="366"/>
    </row>
    <row r="2175" spans="1:1" x14ac:dyDescent="0.2">
      <c r="A2175" s="366"/>
    </row>
    <row r="2176" spans="1:1" x14ac:dyDescent="0.2">
      <c r="A2176" s="366"/>
    </row>
    <row r="2177" spans="1:1" x14ac:dyDescent="0.2">
      <c r="A2177" s="366"/>
    </row>
    <row r="2178" spans="1:1" x14ac:dyDescent="0.2">
      <c r="A2178" s="366"/>
    </row>
    <row r="2179" spans="1:1" x14ac:dyDescent="0.2">
      <c r="A2179" s="366"/>
    </row>
    <row r="2180" spans="1:1" x14ac:dyDescent="0.2">
      <c r="A2180" s="366"/>
    </row>
    <row r="2181" spans="1:1" x14ac:dyDescent="0.2">
      <c r="A2181" s="366"/>
    </row>
    <row r="2182" spans="1:1" x14ac:dyDescent="0.2">
      <c r="A2182" s="366"/>
    </row>
    <row r="2183" spans="1:1" x14ac:dyDescent="0.2">
      <c r="A2183" s="366"/>
    </row>
    <row r="2184" spans="1:1" x14ac:dyDescent="0.2">
      <c r="A2184" s="366"/>
    </row>
    <row r="2185" spans="1:1" x14ac:dyDescent="0.2">
      <c r="A2185" s="366"/>
    </row>
    <row r="2186" spans="1:1" x14ac:dyDescent="0.2">
      <c r="A2186" s="366"/>
    </row>
    <row r="2187" spans="1:1" x14ac:dyDescent="0.2">
      <c r="A2187" s="366"/>
    </row>
    <row r="2188" spans="1:1" x14ac:dyDescent="0.2">
      <c r="A2188" s="366"/>
    </row>
    <row r="2189" spans="1:1" x14ac:dyDescent="0.2">
      <c r="A2189" s="366"/>
    </row>
    <row r="2190" spans="1:1" x14ac:dyDescent="0.2">
      <c r="A2190" s="366"/>
    </row>
    <row r="2191" spans="1:1" x14ac:dyDescent="0.2">
      <c r="A2191" s="366"/>
    </row>
    <row r="2192" spans="1:1" x14ac:dyDescent="0.2">
      <c r="A2192" s="366"/>
    </row>
    <row r="2193" spans="1:1" x14ac:dyDescent="0.2">
      <c r="A2193" s="366"/>
    </row>
    <row r="2194" spans="1:1" x14ac:dyDescent="0.2">
      <c r="A2194" s="366"/>
    </row>
    <row r="2195" spans="1:1" x14ac:dyDescent="0.2">
      <c r="A2195" s="366"/>
    </row>
    <row r="2196" spans="1:1" x14ac:dyDescent="0.2">
      <c r="A2196" s="366"/>
    </row>
    <row r="2197" spans="1:1" x14ac:dyDescent="0.2">
      <c r="A2197" s="366"/>
    </row>
    <row r="2198" spans="1:1" x14ac:dyDescent="0.2">
      <c r="A2198" s="366"/>
    </row>
    <row r="2199" spans="1:1" x14ac:dyDescent="0.2">
      <c r="A2199" s="366"/>
    </row>
    <row r="2200" spans="1:1" x14ac:dyDescent="0.2">
      <c r="A2200" s="366"/>
    </row>
    <row r="2201" spans="1:1" x14ac:dyDescent="0.2">
      <c r="A2201" s="366"/>
    </row>
    <row r="2202" spans="1:1" x14ac:dyDescent="0.2">
      <c r="A2202" s="366"/>
    </row>
    <row r="2203" spans="1:1" x14ac:dyDescent="0.2">
      <c r="A2203" s="366"/>
    </row>
    <row r="2204" spans="1:1" x14ac:dyDescent="0.2">
      <c r="A2204" s="366"/>
    </row>
    <row r="2205" spans="1:1" x14ac:dyDescent="0.2">
      <c r="A2205" s="366"/>
    </row>
    <row r="2206" spans="1:1" x14ac:dyDescent="0.2">
      <c r="A2206" s="366"/>
    </row>
    <row r="2207" spans="1:1" x14ac:dyDescent="0.2">
      <c r="A2207" s="366"/>
    </row>
    <row r="2208" spans="1:1" x14ac:dyDescent="0.2">
      <c r="A2208" s="366"/>
    </row>
    <row r="2209" spans="1:1" x14ac:dyDescent="0.2">
      <c r="A2209" s="366"/>
    </row>
    <row r="2210" spans="1:1" x14ac:dyDescent="0.2">
      <c r="A2210" s="366"/>
    </row>
    <row r="2211" spans="1:1" x14ac:dyDescent="0.2">
      <c r="A2211" s="366"/>
    </row>
    <row r="2212" spans="1:1" x14ac:dyDescent="0.2">
      <c r="A2212" s="366"/>
    </row>
    <row r="2213" spans="1:1" x14ac:dyDescent="0.2">
      <c r="A2213" s="366"/>
    </row>
    <row r="2214" spans="1:1" x14ac:dyDescent="0.2">
      <c r="A2214" s="366"/>
    </row>
    <row r="2215" spans="1:1" x14ac:dyDescent="0.2">
      <c r="A2215" s="366"/>
    </row>
    <row r="2216" spans="1:1" x14ac:dyDescent="0.2">
      <c r="A2216" s="366"/>
    </row>
    <row r="2217" spans="1:1" x14ac:dyDescent="0.2">
      <c r="A2217" s="366"/>
    </row>
    <row r="2218" spans="1:1" x14ac:dyDescent="0.2">
      <c r="A2218" s="366"/>
    </row>
    <row r="2219" spans="1:1" x14ac:dyDescent="0.2">
      <c r="A2219" s="366"/>
    </row>
    <row r="2220" spans="1:1" x14ac:dyDescent="0.2">
      <c r="A2220" s="366"/>
    </row>
    <row r="2221" spans="1:1" x14ac:dyDescent="0.2">
      <c r="A2221" s="366"/>
    </row>
    <row r="2222" spans="1:1" x14ac:dyDescent="0.2">
      <c r="A2222" s="366"/>
    </row>
    <row r="2223" spans="1:1" x14ac:dyDescent="0.2">
      <c r="A2223" s="366"/>
    </row>
    <row r="2224" spans="1:1" x14ac:dyDescent="0.2">
      <c r="A2224" s="366"/>
    </row>
    <row r="2225" spans="1:1" x14ac:dyDescent="0.2">
      <c r="A2225" s="366"/>
    </row>
    <row r="2226" spans="1:1" x14ac:dyDescent="0.2">
      <c r="A2226" s="366"/>
    </row>
    <row r="2227" spans="1:1" x14ac:dyDescent="0.2">
      <c r="A2227" s="366"/>
    </row>
    <row r="2228" spans="1:1" x14ac:dyDescent="0.2">
      <c r="A2228" s="366"/>
    </row>
    <row r="2229" spans="1:1" x14ac:dyDescent="0.2">
      <c r="A2229" s="366"/>
    </row>
    <row r="2230" spans="1:1" x14ac:dyDescent="0.2">
      <c r="A2230" s="366"/>
    </row>
    <row r="2231" spans="1:1" x14ac:dyDescent="0.2">
      <c r="A2231" s="366"/>
    </row>
    <row r="2232" spans="1:1" x14ac:dyDescent="0.2">
      <c r="A2232" s="366"/>
    </row>
    <row r="2233" spans="1:1" x14ac:dyDescent="0.2">
      <c r="A2233" s="366"/>
    </row>
    <row r="2234" spans="1:1" x14ac:dyDescent="0.2">
      <c r="A2234" s="366"/>
    </row>
    <row r="2235" spans="1:1" x14ac:dyDescent="0.2">
      <c r="A2235" s="366"/>
    </row>
    <row r="2236" spans="1:1" x14ac:dyDescent="0.2">
      <c r="A2236" s="366"/>
    </row>
    <row r="2237" spans="1:1" x14ac:dyDescent="0.2">
      <c r="A2237" s="366"/>
    </row>
    <row r="2238" spans="1:1" x14ac:dyDescent="0.2">
      <c r="A2238" s="366"/>
    </row>
    <row r="2239" spans="1:1" x14ac:dyDescent="0.2">
      <c r="A2239" s="366"/>
    </row>
    <row r="2240" spans="1:1" x14ac:dyDescent="0.2">
      <c r="A2240" s="366"/>
    </row>
    <row r="2241" spans="1:1" x14ac:dyDescent="0.2">
      <c r="A2241" s="366"/>
    </row>
    <row r="2242" spans="1:1" x14ac:dyDescent="0.2">
      <c r="A2242" s="366"/>
    </row>
    <row r="2243" spans="1:1" x14ac:dyDescent="0.2">
      <c r="A2243" s="366"/>
    </row>
    <row r="2244" spans="1:1" x14ac:dyDescent="0.2">
      <c r="A2244" s="366"/>
    </row>
    <row r="2245" spans="1:1" x14ac:dyDescent="0.2">
      <c r="A2245" s="366"/>
    </row>
    <row r="2246" spans="1:1" x14ac:dyDescent="0.2">
      <c r="A2246" s="366"/>
    </row>
    <row r="2247" spans="1:1" x14ac:dyDescent="0.2">
      <c r="A2247" s="366"/>
    </row>
    <row r="2248" spans="1:1" x14ac:dyDescent="0.2">
      <c r="A2248" s="366"/>
    </row>
    <row r="2249" spans="1:1" x14ac:dyDescent="0.2">
      <c r="A2249" s="366"/>
    </row>
    <row r="2250" spans="1:1" x14ac:dyDescent="0.2">
      <c r="A2250" s="366"/>
    </row>
    <row r="2251" spans="1:1" x14ac:dyDescent="0.2">
      <c r="A2251" s="366"/>
    </row>
    <row r="2252" spans="1:1" x14ac:dyDescent="0.2">
      <c r="A2252" s="366"/>
    </row>
    <row r="2253" spans="1:1" x14ac:dyDescent="0.2">
      <c r="A2253" s="366"/>
    </row>
    <row r="2254" spans="1:1" x14ac:dyDescent="0.2">
      <c r="A2254" s="366"/>
    </row>
    <row r="2255" spans="1:1" x14ac:dyDescent="0.2">
      <c r="A2255" s="366"/>
    </row>
    <row r="2256" spans="1:1" x14ac:dyDescent="0.2">
      <c r="A2256" s="366"/>
    </row>
    <row r="2257" spans="1:1" x14ac:dyDescent="0.2">
      <c r="A2257" s="366"/>
    </row>
    <row r="2258" spans="1:1" x14ac:dyDescent="0.2">
      <c r="A2258" s="366"/>
    </row>
    <row r="2259" spans="1:1" x14ac:dyDescent="0.2">
      <c r="A2259" s="366"/>
    </row>
    <row r="2260" spans="1:1" x14ac:dyDescent="0.2">
      <c r="A2260" s="366"/>
    </row>
    <row r="2261" spans="1:1" x14ac:dyDescent="0.2">
      <c r="A2261" s="366"/>
    </row>
    <row r="2262" spans="1:1" x14ac:dyDescent="0.2">
      <c r="A2262" s="366"/>
    </row>
    <row r="2263" spans="1:1" x14ac:dyDescent="0.2">
      <c r="A2263" s="366"/>
    </row>
    <row r="2264" spans="1:1" x14ac:dyDescent="0.2">
      <c r="A2264" s="366"/>
    </row>
    <row r="2265" spans="1:1" x14ac:dyDescent="0.2">
      <c r="A2265" s="366"/>
    </row>
    <row r="2266" spans="1:1" x14ac:dyDescent="0.2">
      <c r="A2266" s="366"/>
    </row>
    <row r="2267" spans="1:1" x14ac:dyDescent="0.2">
      <c r="A2267" s="366"/>
    </row>
    <row r="2268" spans="1:1" x14ac:dyDescent="0.2">
      <c r="A2268" s="366"/>
    </row>
    <row r="2269" spans="1:1" x14ac:dyDescent="0.2">
      <c r="A2269" s="366"/>
    </row>
    <row r="2270" spans="1:1" x14ac:dyDescent="0.2">
      <c r="A2270" s="366"/>
    </row>
    <row r="2271" spans="1:1" x14ac:dyDescent="0.2">
      <c r="A2271" s="366"/>
    </row>
    <row r="2272" spans="1:1" x14ac:dyDescent="0.2">
      <c r="A2272" s="366"/>
    </row>
    <row r="2273" spans="1:1" x14ac:dyDescent="0.2">
      <c r="A2273" s="366"/>
    </row>
    <row r="2274" spans="1:1" x14ac:dyDescent="0.2">
      <c r="A2274" s="366"/>
    </row>
    <row r="2275" spans="1:1" x14ac:dyDescent="0.2">
      <c r="A2275" s="366"/>
    </row>
    <row r="2276" spans="1:1" x14ac:dyDescent="0.2">
      <c r="A2276" s="366"/>
    </row>
    <row r="2277" spans="1:1" x14ac:dyDescent="0.2">
      <c r="A2277" s="366"/>
    </row>
    <row r="2278" spans="1:1" x14ac:dyDescent="0.2">
      <c r="A2278" s="366"/>
    </row>
    <row r="2279" spans="1:1" x14ac:dyDescent="0.2">
      <c r="A2279" s="366"/>
    </row>
    <row r="2280" spans="1:1" x14ac:dyDescent="0.2">
      <c r="A2280" s="366"/>
    </row>
    <row r="2281" spans="1:1" x14ac:dyDescent="0.2">
      <c r="A2281" s="366"/>
    </row>
    <row r="2282" spans="1:1" x14ac:dyDescent="0.2">
      <c r="A2282" s="366"/>
    </row>
    <row r="2283" spans="1:1" x14ac:dyDescent="0.2">
      <c r="A2283" s="366"/>
    </row>
    <row r="2284" spans="1:1" x14ac:dyDescent="0.2">
      <c r="A2284" s="366"/>
    </row>
    <row r="2285" spans="1:1" x14ac:dyDescent="0.2">
      <c r="A2285" s="366"/>
    </row>
    <row r="2286" spans="1:1" x14ac:dyDescent="0.2">
      <c r="A2286" s="366"/>
    </row>
    <row r="2287" spans="1:1" x14ac:dyDescent="0.2">
      <c r="A2287" s="366"/>
    </row>
    <row r="2288" spans="1:1" x14ac:dyDescent="0.2">
      <c r="A2288" s="366"/>
    </row>
    <row r="2289" spans="1:1" x14ac:dyDescent="0.2">
      <c r="A2289" s="366"/>
    </row>
    <row r="2290" spans="1:1" x14ac:dyDescent="0.2">
      <c r="A2290" s="366"/>
    </row>
    <row r="2291" spans="1:1" x14ac:dyDescent="0.2">
      <c r="A2291" s="366"/>
    </row>
    <row r="2292" spans="1:1" x14ac:dyDescent="0.2">
      <c r="A2292" s="366"/>
    </row>
    <row r="2293" spans="1:1" x14ac:dyDescent="0.2">
      <c r="A2293" s="366"/>
    </row>
    <row r="2294" spans="1:1" x14ac:dyDescent="0.2">
      <c r="A2294" s="366"/>
    </row>
    <row r="2295" spans="1:1" x14ac:dyDescent="0.2">
      <c r="A2295" s="366"/>
    </row>
    <row r="2296" spans="1:1" x14ac:dyDescent="0.2">
      <c r="A2296" s="366"/>
    </row>
    <row r="2297" spans="1:1" x14ac:dyDescent="0.2">
      <c r="A2297" s="366"/>
    </row>
    <row r="2298" spans="1:1" x14ac:dyDescent="0.2">
      <c r="A2298" s="366"/>
    </row>
    <row r="2299" spans="1:1" x14ac:dyDescent="0.2">
      <c r="A2299" s="366"/>
    </row>
    <row r="2300" spans="1:1" x14ac:dyDescent="0.2">
      <c r="A2300" s="366"/>
    </row>
    <row r="2301" spans="1:1" x14ac:dyDescent="0.2">
      <c r="A2301" s="366"/>
    </row>
    <row r="2302" spans="1:1" x14ac:dyDescent="0.2">
      <c r="A2302" s="366"/>
    </row>
    <row r="2303" spans="1:1" x14ac:dyDescent="0.2">
      <c r="A2303" s="366"/>
    </row>
    <row r="2304" spans="1:1" x14ac:dyDescent="0.2">
      <c r="A2304" s="366"/>
    </row>
    <row r="2305" spans="1:1" x14ac:dyDescent="0.2">
      <c r="A2305" s="366"/>
    </row>
    <row r="2306" spans="1:1" x14ac:dyDescent="0.2">
      <c r="A2306" s="366"/>
    </row>
    <row r="2307" spans="1:1" x14ac:dyDescent="0.2">
      <c r="A2307" s="366"/>
    </row>
    <row r="2308" spans="1:1" x14ac:dyDescent="0.2">
      <c r="A2308" s="366"/>
    </row>
    <row r="2309" spans="1:1" x14ac:dyDescent="0.2">
      <c r="A2309" s="366"/>
    </row>
    <row r="2310" spans="1:1" x14ac:dyDescent="0.2">
      <c r="A2310" s="366"/>
    </row>
    <row r="2311" spans="1:1" x14ac:dyDescent="0.2">
      <c r="A2311" s="366"/>
    </row>
    <row r="2312" spans="1:1" x14ac:dyDescent="0.2">
      <c r="A2312" s="366"/>
    </row>
    <row r="2313" spans="1:1" x14ac:dyDescent="0.2">
      <c r="A2313" s="366"/>
    </row>
    <row r="2314" spans="1:1" x14ac:dyDescent="0.2">
      <c r="A2314" s="366"/>
    </row>
    <row r="2315" spans="1:1" x14ac:dyDescent="0.2">
      <c r="A2315" s="366"/>
    </row>
    <row r="2316" spans="1:1" x14ac:dyDescent="0.2">
      <c r="A2316" s="366"/>
    </row>
    <row r="2317" spans="1:1" x14ac:dyDescent="0.2">
      <c r="A2317" s="366"/>
    </row>
    <row r="2318" spans="1:1" x14ac:dyDescent="0.2">
      <c r="A2318" s="366"/>
    </row>
    <row r="2319" spans="1:1" x14ac:dyDescent="0.2">
      <c r="A2319" s="366"/>
    </row>
    <row r="2320" spans="1:1" x14ac:dyDescent="0.2">
      <c r="A2320" s="366"/>
    </row>
    <row r="2321" spans="1:1" x14ac:dyDescent="0.2">
      <c r="A2321" s="366"/>
    </row>
    <row r="2322" spans="1:1" x14ac:dyDescent="0.2">
      <c r="A2322" s="366"/>
    </row>
    <row r="2323" spans="1:1" x14ac:dyDescent="0.2">
      <c r="A2323" s="366"/>
    </row>
    <row r="2324" spans="1:1" x14ac:dyDescent="0.2">
      <c r="A2324" s="366"/>
    </row>
    <row r="2325" spans="1:1" x14ac:dyDescent="0.2">
      <c r="A2325" s="366"/>
    </row>
    <row r="2326" spans="1:1" x14ac:dyDescent="0.2">
      <c r="A2326" s="366"/>
    </row>
    <row r="2327" spans="1:1" x14ac:dyDescent="0.2">
      <c r="A2327" s="366"/>
    </row>
    <row r="2328" spans="1:1" x14ac:dyDescent="0.2">
      <c r="A2328" s="366"/>
    </row>
    <row r="2329" spans="1:1" x14ac:dyDescent="0.2">
      <c r="A2329" s="366"/>
    </row>
    <row r="2330" spans="1:1" x14ac:dyDescent="0.2">
      <c r="A2330" s="366"/>
    </row>
    <row r="2331" spans="1:1" x14ac:dyDescent="0.2">
      <c r="A2331" s="366"/>
    </row>
    <row r="2332" spans="1:1" x14ac:dyDescent="0.2">
      <c r="A2332" s="366"/>
    </row>
    <row r="2333" spans="1:1" x14ac:dyDescent="0.2">
      <c r="A2333" s="366"/>
    </row>
    <row r="2334" spans="1:1" x14ac:dyDescent="0.2">
      <c r="A2334" s="366"/>
    </row>
    <row r="2335" spans="1:1" x14ac:dyDescent="0.2">
      <c r="A2335" s="366"/>
    </row>
    <row r="2336" spans="1:1" x14ac:dyDescent="0.2">
      <c r="A2336" s="366"/>
    </row>
    <row r="2337" spans="1:1" x14ac:dyDescent="0.2">
      <c r="A2337" s="366"/>
    </row>
    <row r="2338" spans="1:1" x14ac:dyDescent="0.2">
      <c r="A2338" s="366"/>
    </row>
    <row r="2339" spans="1:1" x14ac:dyDescent="0.2">
      <c r="A2339" s="366"/>
    </row>
    <row r="2340" spans="1:1" x14ac:dyDescent="0.2">
      <c r="A2340" s="366"/>
    </row>
    <row r="2341" spans="1:1" x14ac:dyDescent="0.2">
      <c r="A2341" s="366"/>
    </row>
    <row r="2342" spans="1:1" x14ac:dyDescent="0.2">
      <c r="A2342" s="366"/>
    </row>
    <row r="2343" spans="1:1" x14ac:dyDescent="0.2">
      <c r="A2343" s="366"/>
    </row>
    <row r="2344" spans="1:1" x14ac:dyDescent="0.2">
      <c r="A2344" s="366"/>
    </row>
    <row r="2345" spans="1:1" x14ac:dyDescent="0.2">
      <c r="A2345" s="366"/>
    </row>
    <row r="2346" spans="1:1" x14ac:dyDescent="0.2">
      <c r="A2346" s="366"/>
    </row>
    <row r="2347" spans="1:1" x14ac:dyDescent="0.2">
      <c r="A2347" s="366"/>
    </row>
    <row r="2348" spans="1:1" x14ac:dyDescent="0.2">
      <c r="A2348" s="366"/>
    </row>
    <row r="2349" spans="1:1" x14ac:dyDescent="0.2">
      <c r="A2349" s="366"/>
    </row>
    <row r="2350" spans="1:1" x14ac:dyDescent="0.2">
      <c r="A2350" s="366"/>
    </row>
    <row r="2351" spans="1:1" x14ac:dyDescent="0.2">
      <c r="A2351" s="366"/>
    </row>
    <row r="2352" spans="1:1" x14ac:dyDescent="0.2">
      <c r="A2352" s="366"/>
    </row>
    <row r="2353" spans="1:1" x14ac:dyDescent="0.2">
      <c r="A2353" s="366"/>
    </row>
    <row r="2354" spans="1:1" x14ac:dyDescent="0.2">
      <c r="A2354" s="366"/>
    </row>
    <row r="2355" spans="1:1" x14ac:dyDescent="0.2">
      <c r="A2355" s="366"/>
    </row>
    <row r="2356" spans="1:1" x14ac:dyDescent="0.2">
      <c r="A2356" s="366"/>
    </row>
    <row r="2357" spans="1:1" x14ac:dyDescent="0.2">
      <c r="A2357" s="366"/>
    </row>
    <row r="2358" spans="1:1" x14ac:dyDescent="0.2">
      <c r="A2358" s="366"/>
    </row>
    <row r="2359" spans="1:1" x14ac:dyDescent="0.2">
      <c r="A2359" s="366"/>
    </row>
    <row r="2360" spans="1:1" x14ac:dyDescent="0.2">
      <c r="A2360" s="366"/>
    </row>
    <row r="2361" spans="1:1" x14ac:dyDescent="0.2">
      <c r="A2361" s="366"/>
    </row>
    <row r="2362" spans="1:1" x14ac:dyDescent="0.2">
      <c r="A2362" s="366"/>
    </row>
    <row r="2363" spans="1:1" x14ac:dyDescent="0.2">
      <c r="A2363" s="366"/>
    </row>
    <row r="2364" spans="1:1" x14ac:dyDescent="0.2">
      <c r="A2364" s="366"/>
    </row>
    <row r="2365" spans="1:1" x14ac:dyDescent="0.2">
      <c r="A2365" s="366"/>
    </row>
    <row r="2366" spans="1:1" x14ac:dyDescent="0.2">
      <c r="A2366" s="366"/>
    </row>
    <row r="2367" spans="1:1" x14ac:dyDescent="0.2">
      <c r="A2367" s="366"/>
    </row>
    <row r="2368" spans="1:1" x14ac:dyDescent="0.2">
      <c r="A2368" s="366"/>
    </row>
    <row r="2369" spans="1:1" x14ac:dyDescent="0.2">
      <c r="A2369" s="366"/>
    </row>
    <row r="2370" spans="1:1" x14ac:dyDescent="0.2">
      <c r="A2370" s="366"/>
    </row>
    <row r="2371" spans="1:1" x14ac:dyDescent="0.2">
      <c r="A2371" s="366"/>
    </row>
    <row r="2372" spans="1:1" x14ac:dyDescent="0.2">
      <c r="A2372" s="366"/>
    </row>
    <row r="2373" spans="1:1" x14ac:dyDescent="0.2">
      <c r="A2373" s="366"/>
    </row>
    <row r="2374" spans="1:1" x14ac:dyDescent="0.2">
      <c r="A2374" s="366"/>
    </row>
    <row r="2375" spans="1:1" x14ac:dyDescent="0.2">
      <c r="A2375" s="366"/>
    </row>
    <row r="2376" spans="1:1" x14ac:dyDescent="0.2">
      <c r="A2376" s="366"/>
    </row>
    <row r="2377" spans="1:1" x14ac:dyDescent="0.2">
      <c r="A2377" s="366"/>
    </row>
    <row r="2378" spans="1:1" x14ac:dyDescent="0.2">
      <c r="A2378" s="366"/>
    </row>
    <row r="2379" spans="1:1" x14ac:dyDescent="0.2">
      <c r="A2379" s="366"/>
    </row>
    <row r="2380" spans="1:1" x14ac:dyDescent="0.2">
      <c r="A2380" s="366"/>
    </row>
    <row r="2381" spans="1:1" x14ac:dyDescent="0.2">
      <c r="A2381" s="366"/>
    </row>
    <row r="2382" spans="1:1" x14ac:dyDescent="0.2">
      <c r="A2382" s="366"/>
    </row>
    <row r="2383" spans="1:1" x14ac:dyDescent="0.2">
      <c r="A2383" s="366"/>
    </row>
    <row r="2384" spans="1:1" x14ac:dyDescent="0.2">
      <c r="A2384" s="366"/>
    </row>
    <row r="2385" spans="1:1" x14ac:dyDescent="0.2">
      <c r="A2385" s="366"/>
    </row>
    <row r="2386" spans="1:1" x14ac:dyDescent="0.2">
      <c r="A2386" s="366"/>
    </row>
    <row r="2387" spans="1:1" x14ac:dyDescent="0.2">
      <c r="A2387" s="366"/>
    </row>
    <row r="2388" spans="1:1" x14ac:dyDescent="0.2">
      <c r="A2388" s="366"/>
    </row>
    <row r="2389" spans="1:1" x14ac:dyDescent="0.2">
      <c r="A2389" s="366"/>
    </row>
    <row r="2390" spans="1:1" x14ac:dyDescent="0.2">
      <c r="A2390" s="366"/>
    </row>
    <row r="2391" spans="1:1" x14ac:dyDescent="0.2">
      <c r="A2391" s="366"/>
    </row>
    <row r="2392" spans="1:1" x14ac:dyDescent="0.2">
      <c r="A2392" s="366"/>
    </row>
    <row r="2393" spans="1:1" x14ac:dyDescent="0.2">
      <c r="A2393" s="366"/>
    </row>
    <row r="2394" spans="1:1" x14ac:dyDescent="0.2">
      <c r="A2394" s="366"/>
    </row>
    <row r="2395" spans="1:1" x14ac:dyDescent="0.2">
      <c r="A2395" s="366"/>
    </row>
    <row r="2396" spans="1:1" x14ac:dyDescent="0.2">
      <c r="A2396" s="366"/>
    </row>
    <row r="2397" spans="1:1" x14ac:dyDescent="0.2">
      <c r="A2397" s="366"/>
    </row>
    <row r="2398" spans="1:1" x14ac:dyDescent="0.2">
      <c r="A2398" s="366"/>
    </row>
    <row r="2399" spans="1:1" x14ac:dyDescent="0.2">
      <c r="A2399" s="366"/>
    </row>
    <row r="2400" spans="1:1" x14ac:dyDescent="0.2">
      <c r="A2400" s="366"/>
    </row>
    <row r="2401" spans="1:1" x14ac:dyDescent="0.2">
      <c r="A2401" s="366"/>
    </row>
    <row r="2402" spans="1:1" x14ac:dyDescent="0.2">
      <c r="A2402" s="366"/>
    </row>
    <row r="2403" spans="1:1" x14ac:dyDescent="0.2">
      <c r="A2403" s="366"/>
    </row>
    <row r="2404" spans="1:1" x14ac:dyDescent="0.2">
      <c r="A2404" s="366"/>
    </row>
    <row r="2405" spans="1:1" x14ac:dyDescent="0.2">
      <c r="A2405" s="366"/>
    </row>
    <row r="2406" spans="1:1" x14ac:dyDescent="0.2">
      <c r="A2406" s="366"/>
    </row>
    <row r="2407" spans="1:1" x14ac:dyDescent="0.2">
      <c r="A2407" s="366"/>
    </row>
    <row r="2408" spans="1:1" x14ac:dyDescent="0.2">
      <c r="A2408" s="366"/>
    </row>
    <row r="2409" spans="1:1" x14ac:dyDescent="0.2">
      <c r="A2409" s="366"/>
    </row>
    <row r="2410" spans="1:1" x14ac:dyDescent="0.2">
      <c r="A2410" s="366"/>
    </row>
    <row r="2411" spans="1:1" x14ac:dyDescent="0.2">
      <c r="A2411" s="366"/>
    </row>
    <row r="2412" spans="1:1" x14ac:dyDescent="0.2">
      <c r="A2412" s="366"/>
    </row>
    <row r="2413" spans="1:1" x14ac:dyDescent="0.2">
      <c r="A2413" s="366"/>
    </row>
    <row r="2414" spans="1:1" x14ac:dyDescent="0.2">
      <c r="A2414" s="366"/>
    </row>
    <row r="2415" spans="1:1" x14ac:dyDescent="0.2">
      <c r="A2415" s="366"/>
    </row>
    <row r="2416" spans="1:1" x14ac:dyDescent="0.2">
      <c r="A2416" s="366"/>
    </row>
    <row r="2417" spans="1:1" x14ac:dyDescent="0.2">
      <c r="A2417" s="366"/>
    </row>
    <row r="2418" spans="1:1" x14ac:dyDescent="0.2">
      <c r="A2418" s="366"/>
    </row>
    <row r="2419" spans="1:1" x14ac:dyDescent="0.2">
      <c r="A2419" s="366"/>
    </row>
    <row r="2420" spans="1:1" x14ac:dyDescent="0.2">
      <c r="A2420" s="366"/>
    </row>
    <row r="2421" spans="1:1" x14ac:dyDescent="0.2">
      <c r="A2421" s="366"/>
    </row>
    <row r="2422" spans="1:1" x14ac:dyDescent="0.2">
      <c r="A2422" s="366"/>
    </row>
    <row r="2423" spans="1:1" x14ac:dyDescent="0.2">
      <c r="A2423" s="366"/>
    </row>
    <row r="2424" spans="1:1" x14ac:dyDescent="0.2">
      <c r="A2424" s="366"/>
    </row>
    <row r="2425" spans="1:1" x14ac:dyDescent="0.2">
      <c r="A2425" s="366"/>
    </row>
    <row r="2426" spans="1:1" x14ac:dyDescent="0.2">
      <c r="A2426" s="366"/>
    </row>
    <row r="2427" spans="1:1" x14ac:dyDescent="0.2">
      <c r="A2427" s="366"/>
    </row>
    <row r="2428" spans="1:1" x14ac:dyDescent="0.2">
      <c r="A2428" s="366"/>
    </row>
    <row r="2429" spans="1:1" x14ac:dyDescent="0.2">
      <c r="A2429" s="366"/>
    </row>
    <row r="2430" spans="1:1" x14ac:dyDescent="0.2">
      <c r="A2430" s="366"/>
    </row>
    <row r="2431" spans="1:1" x14ac:dyDescent="0.2">
      <c r="A2431" s="366"/>
    </row>
    <row r="2432" spans="1:1" x14ac:dyDescent="0.2">
      <c r="A2432" s="366"/>
    </row>
    <row r="2433" spans="1:1" x14ac:dyDescent="0.2">
      <c r="A2433" s="366"/>
    </row>
    <row r="2434" spans="1:1" x14ac:dyDescent="0.2">
      <c r="A2434" s="366"/>
    </row>
    <row r="2435" spans="1:1" x14ac:dyDescent="0.2">
      <c r="A2435" s="366"/>
    </row>
    <row r="2436" spans="1:1" x14ac:dyDescent="0.2">
      <c r="A2436" s="366"/>
    </row>
    <row r="2437" spans="1:1" x14ac:dyDescent="0.2">
      <c r="A2437" s="366"/>
    </row>
    <row r="2438" spans="1:1" x14ac:dyDescent="0.2">
      <c r="A2438" s="366"/>
    </row>
    <row r="2439" spans="1:1" x14ac:dyDescent="0.2">
      <c r="A2439" s="366"/>
    </row>
    <row r="2440" spans="1:1" x14ac:dyDescent="0.2">
      <c r="A2440" s="366"/>
    </row>
    <row r="2441" spans="1:1" x14ac:dyDescent="0.2">
      <c r="A2441" s="366"/>
    </row>
    <row r="2442" spans="1:1" x14ac:dyDescent="0.2">
      <c r="A2442" s="366"/>
    </row>
    <row r="2443" spans="1:1" x14ac:dyDescent="0.2">
      <c r="A2443" s="366"/>
    </row>
    <row r="2444" spans="1:1" x14ac:dyDescent="0.2">
      <c r="A2444" s="366"/>
    </row>
    <row r="2445" spans="1:1" x14ac:dyDescent="0.2">
      <c r="A2445" s="366"/>
    </row>
    <row r="2446" spans="1:1" x14ac:dyDescent="0.2">
      <c r="A2446" s="366"/>
    </row>
    <row r="2447" spans="1:1" x14ac:dyDescent="0.2">
      <c r="A2447" s="366"/>
    </row>
    <row r="2448" spans="1:1" x14ac:dyDescent="0.2">
      <c r="A2448" s="366"/>
    </row>
    <row r="2449" spans="1:1" x14ac:dyDescent="0.2">
      <c r="A2449" s="366"/>
    </row>
    <row r="2450" spans="1:1" x14ac:dyDescent="0.2">
      <c r="A2450" s="366"/>
    </row>
    <row r="2451" spans="1:1" x14ac:dyDescent="0.2">
      <c r="A2451" s="366"/>
    </row>
    <row r="2452" spans="1:1" x14ac:dyDescent="0.2">
      <c r="A2452" s="366"/>
    </row>
    <row r="2453" spans="1:1" x14ac:dyDescent="0.2">
      <c r="A2453" s="366"/>
    </row>
    <row r="2454" spans="1:1" x14ac:dyDescent="0.2">
      <c r="A2454" s="366"/>
    </row>
    <row r="2455" spans="1:1" x14ac:dyDescent="0.2">
      <c r="A2455" s="366"/>
    </row>
    <row r="2456" spans="1:1" x14ac:dyDescent="0.2">
      <c r="A2456" s="366"/>
    </row>
    <row r="2457" spans="1:1" x14ac:dyDescent="0.2">
      <c r="A2457" s="366"/>
    </row>
    <row r="2458" spans="1:1" x14ac:dyDescent="0.2">
      <c r="A2458" s="366"/>
    </row>
    <row r="2459" spans="1:1" x14ac:dyDescent="0.2">
      <c r="A2459" s="366"/>
    </row>
    <row r="2460" spans="1:1" x14ac:dyDescent="0.2">
      <c r="A2460" s="366"/>
    </row>
    <row r="2461" spans="1:1" x14ac:dyDescent="0.2">
      <c r="A2461" s="366"/>
    </row>
    <row r="2462" spans="1:1" x14ac:dyDescent="0.2">
      <c r="A2462" s="366"/>
    </row>
    <row r="2463" spans="1:1" x14ac:dyDescent="0.2">
      <c r="A2463" s="366"/>
    </row>
    <row r="2464" spans="1:1" x14ac:dyDescent="0.2">
      <c r="A2464" s="366"/>
    </row>
    <row r="2465" spans="1:1" x14ac:dyDescent="0.2">
      <c r="A2465" s="366"/>
    </row>
    <row r="2466" spans="1:1" x14ac:dyDescent="0.2">
      <c r="A2466" s="366"/>
    </row>
    <row r="2467" spans="1:1" x14ac:dyDescent="0.2">
      <c r="A2467" s="366"/>
    </row>
    <row r="2468" spans="1:1" x14ac:dyDescent="0.2">
      <c r="A2468" s="366"/>
    </row>
    <row r="2469" spans="1:1" x14ac:dyDescent="0.2">
      <c r="A2469" s="366"/>
    </row>
    <row r="2470" spans="1:1" x14ac:dyDescent="0.2">
      <c r="A2470" s="366"/>
    </row>
    <row r="2471" spans="1:1" x14ac:dyDescent="0.2">
      <c r="A2471" s="366"/>
    </row>
    <row r="2472" spans="1:1" x14ac:dyDescent="0.2">
      <c r="A2472" s="366"/>
    </row>
    <row r="2473" spans="1:1" x14ac:dyDescent="0.2">
      <c r="A2473" s="366"/>
    </row>
    <row r="2474" spans="1:1" x14ac:dyDescent="0.2">
      <c r="A2474" s="366"/>
    </row>
    <row r="2475" spans="1:1" x14ac:dyDescent="0.2">
      <c r="A2475" s="366"/>
    </row>
    <row r="2476" spans="1:1" x14ac:dyDescent="0.2">
      <c r="A2476" s="366"/>
    </row>
    <row r="2477" spans="1:1" x14ac:dyDescent="0.2">
      <c r="A2477" s="366"/>
    </row>
    <row r="2478" spans="1:1" x14ac:dyDescent="0.2">
      <c r="A2478" s="366"/>
    </row>
    <row r="2479" spans="1:1" x14ac:dyDescent="0.2">
      <c r="A2479" s="366"/>
    </row>
    <row r="2480" spans="1:1" x14ac:dyDescent="0.2">
      <c r="A2480" s="366"/>
    </row>
    <row r="2481" spans="1:1" x14ac:dyDescent="0.2">
      <c r="A2481" s="366"/>
    </row>
    <row r="2482" spans="1:1" x14ac:dyDescent="0.2">
      <c r="A2482" s="366"/>
    </row>
    <row r="2483" spans="1:1" x14ac:dyDescent="0.2">
      <c r="A2483" s="366"/>
    </row>
    <row r="2484" spans="1:1" x14ac:dyDescent="0.2">
      <c r="A2484" s="366"/>
    </row>
    <row r="2485" spans="1:1" x14ac:dyDescent="0.2">
      <c r="A2485" s="366"/>
    </row>
    <row r="2486" spans="1:1" x14ac:dyDescent="0.2">
      <c r="A2486" s="366"/>
    </row>
    <row r="2487" spans="1:1" x14ac:dyDescent="0.2">
      <c r="A2487" s="366"/>
    </row>
    <row r="2488" spans="1:1" x14ac:dyDescent="0.2">
      <c r="A2488" s="366"/>
    </row>
    <row r="2489" spans="1:1" x14ac:dyDescent="0.2">
      <c r="A2489" s="366"/>
    </row>
    <row r="2490" spans="1:1" x14ac:dyDescent="0.2">
      <c r="A2490" s="366"/>
    </row>
    <row r="2491" spans="1:1" x14ac:dyDescent="0.2">
      <c r="A2491" s="366"/>
    </row>
    <row r="2492" spans="1:1" x14ac:dyDescent="0.2">
      <c r="A2492" s="366"/>
    </row>
    <row r="2493" spans="1:1" x14ac:dyDescent="0.2">
      <c r="A2493" s="366"/>
    </row>
    <row r="2494" spans="1:1" x14ac:dyDescent="0.2">
      <c r="A2494" s="366"/>
    </row>
    <row r="2495" spans="1:1" x14ac:dyDescent="0.2">
      <c r="A2495" s="366"/>
    </row>
    <row r="2496" spans="1:1" x14ac:dyDescent="0.2">
      <c r="A2496" s="366"/>
    </row>
    <row r="2497" spans="1:1" x14ac:dyDescent="0.2">
      <c r="A2497" s="366"/>
    </row>
    <row r="2498" spans="1:1" x14ac:dyDescent="0.2">
      <c r="A2498" s="366"/>
    </row>
    <row r="2499" spans="1:1" x14ac:dyDescent="0.2">
      <c r="A2499" s="366"/>
    </row>
    <row r="2500" spans="1:1" x14ac:dyDescent="0.2">
      <c r="A2500" s="366"/>
    </row>
    <row r="2501" spans="1:1" x14ac:dyDescent="0.2">
      <c r="A2501" s="366"/>
    </row>
    <row r="2502" spans="1:1" x14ac:dyDescent="0.2">
      <c r="A2502" s="366"/>
    </row>
    <row r="2503" spans="1:1" x14ac:dyDescent="0.2">
      <c r="A2503" s="366"/>
    </row>
    <row r="2504" spans="1:1" x14ac:dyDescent="0.2">
      <c r="A2504" s="366"/>
    </row>
    <row r="2505" spans="1:1" x14ac:dyDescent="0.2">
      <c r="A2505" s="366"/>
    </row>
    <row r="2506" spans="1:1" x14ac:dyDescent="0.2">
      <c r="A2506" s="366"/>
    </row>
    <row r="2507" spans="1:1" x14ac:dyDescent="0.2">
      <c r="A2507" s="366"/>
    </row>
    <row r="2508" spans="1:1" x14ac:dyDescent="0.2">
      <c r="A2508" s="366"/>
    </row>
    <row r="2509" spans="1:1" x14ac:dyDescent="0.2">
      <c r="A2509" s="366"/>
    </row>
    <row r="2510" spans="1:1" x14ac:dyDescent="0.2">
      <c r="A2510" s="366"/>
    </row>
    <row r="2511" spans="1:1" x14ac:dyDescent="0.2">
      <c r="A2511" s="366"/>
    </row>
    <row r="2512" spans="1:1" x14ac:dyDescent="0.2">
      <c r="A2512" s="366"/>
    </row>
    <row r="2513" spans="1:1" x14ac:dyDescent="0.2">
      <c r="A2513" s="366"/>
    </row>
    <row r="2514" spans="1:1" x14ac:dyDescent="0.2">
      <c r="A2514" s="366"/>
    </row>
    <row r="2515" spans="1:1" x14ac:dyDescent="0.2">
      <c r="A2515" s="366"/>
    </row>
    <row r="2516" spans="1:1" x14ac:dyDescent="0.2">
      <c r="A2516" s="366"/>
    </row>
    <row r="2517" spans="1:1" x14ac:dyDescent="0.2">
      <c r="A2517" s="366"/>
    </row>
    <row r="2518" spans="1:1" x14ac:dyDescent="0.2">
      <c r="A2518" s="366"/>
    </row>
    <row r="2519" spans="1:1" x14ac:dyDescent="0.2">
      <c r="A2519" s="366"/>
    </row>
    <row r="2520" spans="1:1" x14ac:dyDescent="0.2">
      <c r="A2520" s="366"/>
    </row>
    <row r="2521" spans="1:1" x14ac:dyDescent="0.2">
      <c r="A2521" s="366"/>
    </row>
    <row r="2522" spans="1:1" x14ac:dyDescent="0.2">
      <c r="A2522" s="366"/>
    </row>
    <row r="2523" spans="1:1" x14ac:dyDescent="0.2">
      <c r="A2523" s="366"/>
    </row>
    <row r="2524" spans="1:1" x14ac:dyDescent="0.2">
      <c r="A2524" s="366"/>
    </row>
    <row r="2525" spans="1:1" x14ac:dyDescent="0.2">
      <c r="A2525" s="366"/>
    </row>
    <row r="2526" spans="1:1" x14ac:dyDescent="0.2">
      <c r="A2526" s="366"/>
    </row>
    <row r="2527" spans="1:1" x14ac:dyDescent="0.2">
      <c r="A2527" s="366"/>
    </row>
    <row r="2528" spans="1:1" x14ac:dyDescent="0.2">
      <c r="A2528" s="366"/>
    </row>
    <row r="2529" spans="1:1" x14ac:dyDescent="0.2">
      <c r="A2529" s="366"/>
    </row>
    <row r="2530" spans="1:1" x14ac:dyDescent="0.2">
      <c r="A2530" s="366"/>
    </row>
    <row r="2531" spans="1:1" x14ac:dyDescent="0.2">
      <c r="A2531" s="366"/>
    </row>
    <row r="2532" spans="1:1" x14ac:dyDescent="0.2">
      <c r="A2532" s="366"/>
    </row>
    <row r="2533" spans="1:1" x14ac:dyDescent="0.2">
      <c r="A2533" s="366"/>
    </row>
    <row r="2534" spans="1:1" x14ac:dyDescent="0.2">
      <c r="A2534" s="366"/>
    </row>
    <row r="2535" spans="1:1" x14ac:dyDescent="0.2">
      <c r="A2535" s="366"/>
    </row>
    <row r="2536" spans="1:1" x14ac:dyDescent="0.2">
      <c r="A2536" s="366"/>
    </row>
    <row r="2537" spans="1:1" x14ac:dyDescent="0.2">
      <c r="A2537" s="366"/>
    </row>
    <row r="2538" spans="1:1" x14ac:dyDescent="0.2">
      <c r="A2538" s="366"/>
    </row>
    <row r="2539" spans="1:1" x14ac:dyDescent="0.2">
      <c r="A2539" s="366"/>
    </row>
    <row r="2540" spans="1:1" x14ac:dyDescent="0.2">
      <c r="A2540" s="366"/>
    </row>
    <row r="2541" spans="1:1" x14ac:dyDescent="0.2">
      <c r="A2541" s="366"/>
    </row>
    <row r="2542" spans="1:1" x14ac:dyDescent="0.2">
      <c r="A2542" s="366"/>
    </row>
    <row r="2543" spans="1:1" x14ac:dyDescent="0.2">
      <c r="A2543" s="366"/>
    </row>
    <row r="2544" spans="1:1" x14ac:dyDescent="0.2">
      <c r="A2544" s="366"/>
    </row>
    <row r="2545" spans="1:1" x14ac:dyDescent="0.2">
      <c r="A2545" s="366"/>
    </row>
    <row r="2546" spans="1:1" x14ac:dyDescent="0.2">
      <c r="A2546" s="366"/>
    </row>
    <row r="2547" spans="1:1" x14ac:dyDescent="0.2">
      <c r="A2547" s="366"/>
    </row>
    <row r="2548" spans="1:1" x14ac:dyDescent="0.2">
      <c r="A2548" s="366"/>
    </row>
    <row r="2549" spans="1:1" x14ac:dyDescent="0.2">
      <c r="A2549" s="366"/>
    </row>
    <row r="2550" spans="1:1" x14ac:dyDescent="0.2">
      <c r="A2550" s="366"/>
    </row>
    <row r="2551" spans="1:1" x14ac:dyDescent="0.2">
      <c r="A2551" s="366"/>
    </row>
    <row r="2552" spans="1:1" x14ac:dyDescent="0.2">
      <c r="A2552" s="366"/>
    </row>
    <row r="2553" spans="1:1" x14ac:dyDescent="0.2">
      <c r="A2553" s="366"/>
    </row>
    <row r="2554" spans="1:1" x14ac:dyDescent="0.2">
      <c r="A2554" s="366"/>
    </row>
    <row r="2555" spans="1:1" x14ac:dyDescent="0.2">
      <c r="A2555" s="366"/>
    </row>
    <row r="2556" spans="1:1" x14ac:dyDescent="0.2">
      <c r="A2556" s="366"/>
    </row>
    <row r="2557" spans="1:1" x14ac:dyDescent="0.2">
      <c r="A2557" s="366"/>
    </row>
    <row r="2558" spans="1:1" x14ac:dyDescent="0.2">
      <c r="A2558" s="366"/>
    </row>
    <row r="2559" spans="1:1" x14ac:dyDescent="0.2">
      <c r="A2559" s="366"/>
    </row>
    <row r="2560" spans="1:1" x14ac:dyDescent="0.2">
      <c r="A2560" s="366"/>
    </row>
    <row r="2561" spans="1:1" x14ac:dyDescent="0.2">
      <c r="A2561" s="366"/>
    </row>
    <row r="2562" spans="1:1" x14ac:dyDescent="0.2">
      <c r="A2562" s="366"/>
    </row>
    <row r="2563" spans="1:1" x14ac:dyDescent="0.2">
      <c r="A2563" s="366"/>
    </row>
    <row r="2564" spans="1:1" x14ac:dyDescent="0.2">
      <c r="A2564" s="366"/>
    </row>
    <row r="2565" spans="1:1" x14ac:dyDescent="0.2">
      <c r="A2565" s="366"/>
    </row>
    <row r="2566" spans="1:1" x14ac:dyDescent="0.2">
      <c r="A2566" s="366"/>
    </row>
    <row r="2567" spans="1:1" x14ac:dyDescent="0.2">
      <c r="A2567" s="366"/>
    </row>
    <row r="2568" spans="1:1" x14ac:dyDescent="0.2">
      <c r="A2568" s="366"/>
    </row>
    <row r="2569" spans="1:1" x14ac:dyDescent="0.2">
      <c r="A2569" s="366"/>
    </row>
    <row r="2570" spans="1:1" x14ac:dyDescent="0.2">
      <c r="A2570" s="366"/>
    </row>
    <row r="2571" spans="1:1" x14ac:dyDescent="0.2">
      <c r="A2571" s="366"/>
    </row>
    <row r="2572" spans="1:1" x14ac:dyDescent="0.2">
      <c r="A2572" s="366"/>
    </row>
    <row r="2573" spans="1:1" x14ac:dyDescent="0.2">
      <c r="A2573" s="366"/>
    </row>
    <row r="2574" spans="1:1" x14ac:dyDescent="0.2">
      <c r="A2574" s="366"/>
    </row>
    <row r="2575" spans="1:1" x14ac:dyDescent="0.2">
      <c r="A2575" s="366"/>
    </row>
    <row r="2576" spans="1:1" x14ac:dyDescent="0.2">
      <c r="A2576" s="366"/>
    </row>
    <row r="2577" spans="1:1" x14ac:dyDescent="0.2">
      <c r="A2577" s="366"/>
    </row>
    <row r="2578" spans="1:1" x14ac:dyDescent="0.2">
      <c r="A2578" s="366"/>
    </row>
    <row r="2579" spans="1:1" x14ac:dyDescent="0.2">
      <c r="A2579" s="366"/>
    </row>
    <row r="2580" spans="1:1" x14ac:dyDescent="0.2">
      <c r="A2580" s="366"/>
    </row>
    <row r="2581" spans="1:1" x14ac:dyDescent="0.2">
      <c r="A2581" s="366"/>
    </row>
    <row r="2582" spans="1:1" x14ac:dyDescent="0.2">
      <c r="A2582" s="366"/>
    </row>
    <row r="2583" spans="1:1" x14ac:dyDescent="0.2">
      <c r="A2583" s="366"/>
    </row>
    <row r="2584" spans="1:1" x14ac:dyDescent="0.2">
      <c r="A2584" s="366"/>
    </row>
    <row r="2585" spans="1:1" x14ac:dyDescent="0.2">
      <c r="A2585" s="366"/>
    </row>
    <row r="2586" spans="1:1" x14ac:dyDescent="0.2">
      <c r="A2586" s="366"/>
    </row>
    <row r="2587" spans="1:1" x14ac:dyDescent="0.2">
      <c r="A2587" s="366"/>
    </row>
    <row r="2588" spans="1:1" x14ac:dyDescent="0.2">
      <c r="A2588" s="366"/>
    </row>
    <row r="2589" spans="1:1" x14ac:dyDescent="0.2">
      <c r="A2589" s="366"/>
    </row>
    <row r="2590" spans="1:1" x14ac:dyDescent="0.2">
      <c r="A2590" s="366"/>
    </row>
    <row r="2591" spans="1:1" x14ac:dyDescent="0.2">
      <c r="A2591" s="366"/>
    </row>
    <row r="2592" spans="1:1" x14ac:dyDescent="0.2">
      <c r="A2592" s="366"/>
    </row>
    <row r="2593" spans="1:1" x14ac:dyDescent="0.2">
      <c r="A2593" s="366"/>
    </row>
    <row r="2594" spans="1:1" x14ac:dyDescent="0.2">
      <c r="A2594" s="366"/>
    </row>
    <row r="2595" spans="1:1" x14ac:dyDescent="0.2">
      <c r="A2595" s="366"/>
    </row>
    <row r="2596" spans="1:1" x14ac:dyDescent="0.2">
      <c r="A2596" s="366"/>
    </row>
    <row r="2597" spans="1:1" x14ac:dyDescent="0.2">
      <c r="A2597" s="366"/>
    </row>
    <row r="2598" spans="1:1" x14ac:dyDescent="0.2">
      <c r="A2598" s="366"/>
    </row>
    <row r="2599" spans="1:1" x14ac:dyDescent="0.2">
      <c r="A2599" s="366"/>
    </row>
    <row r="2600" spans="1:1" x14ac:dyDescent="0.2">
      <c r="A2600" s="366"/>
    </row>
    <row r="2601" spans="1:1" x14ac:dyDescent="0.2">
      <c r="A2601" s="366"/>
    </row>
    <row r="2602" spans="1:1" x14ac:dyDescent="0.2">
      <c r="A2602" s="366"/>
    </row>
    <row r="2603" spans="1:1" x14ac:dyDescent="0.2">
      <c r="A2603" s="366"/>
    </row>
    <row r="2604" spans="1:1" x14ac:dyDescent="0.2">
      <c r="A2604" s="366"/>
    </row>
    <row r="2605" spans="1:1" x14ac:dyDescent="0.2">
      <c r="A2605" s="366"/>
    </row>
    <row r="2606" spans="1:1" x14ac:dyDescent="0.2">
      <c r="A2606" s="366"/>
    </row>
    <row r="2607" spans="1:1" x14ac:dyDescent="0.2">
      <c r="A2607" s="366"/>
    </row>
    <row r="2608" spans="1:1" x14ac:dyDescent="0.2">
      <c r="A2608" s="366"/>
    </row>
    <row r="2609" spans="1:1" x14ac:dyDescent="0.2">
      <c r="A2609" s="366"/>
    </row>
    <row r="2610" spans="1:1" x14ac:dyDescent="0.2">
      <c r="A2610" s="366"/>
    </row>
    <row r="2611" spans="1:1" x14ac:dyDescent="0.2">
      <c r="A2611" s="366"/>
    </row>
    <row r="2612" spans="1:1" x14ac:dyDescent="0.2">
      <c r="A2612" s="366"/>
    </row>
    <row r="2613" spans="1:1" x14ac:dyDescent="0.2">
      <c r="A2613" s="366"/>
    </row>
    <row r="2614" spans="1:1" x14ac:dyDescent="0.2">
      <c r="A2614" s="366"/>
    </row>
    <row r="2615" spans="1:1" x14ac:dyDescent="0.2">
      <c r="A2615" s="366"/>
    </row>
    <row r="2616" spans="1:1" x14ac:dyDescent="0.2">
      <c r="A2616" s="366"/>
    </row>
    <row r="2617" spans="1:1" x14ac:dyDescent="0.2">
      <c r="A2617" s="366"/>
    </row>
    <row r="2618" spans="1:1" x14ac:dyDescent="0.2">
      <c r="A2618" s="366"/>
    </row>
    <row r="2619" spans="1:1" x14ac:dyDescent="0.2">
      <c r="A2619" s="366"/>
    </row>
    <row r="2620" spans="1:1" x14ac:dyDescent="0.2">
      <c r="A2620" s="366"/>
    </row>
    <row r="2621" spans="1:1" x14ac:dyDescent="0.2">
      <c r="A2621" s="366"/>
    </row>
    <row r="2622" spans="1:1" x14ac:dyDescent="0.2">
      <c r="A2622" s="366"/>
    </row>
    <row r="2623" spans="1:1" x14ac:dyDescent="0.2">
      <c r="A2623" s="366"/>
    </row>
    <row r="2624" spans="1:1" x14ac:dyDescent="0.2">
      <c r="A2624" s="366"/>
    </row>
    <row r="2625" spans="1:1" x14ac:dyDescent="0.2">
      <c r="A2625" s="366"/>
    </row>
    <row r="2626" spans="1:1" x14ac:dyDescent="0.2">
      <c r="A2626" s="366"/>
    </row>
    <row r="2627" spans="1:1" x14ac:dyDescent="0.2">
      <c r="A2627" s="366"/>
    </row>
    <row r="2628" spans="1:1" x14ac:dyDescent="0.2">
      <c r="A2628" s="366"/>
    </row>
    <row r="2629" spans="1:1" x14ac:dyDescent="0.2">
      <c r="A2629" s="366"/>
    </row>
    <row r="2630" spans="1:1" x14ac:dyDescent="0.2">
      <c r="A2630" s="366"/>
    </row>
    <row r="2631" spans="1:1" x14ac:dyDescent="0.2">
      <c r="A2631" s="366"/>
    </row>
    <row r="2632" spans="1:1" x14ac:dyDescent="0.2">
      <c r="A2632" s="366"/>
    </row>
    <row r="2633" spans="1:1" x14ac:dyDescent="0.2">
      <c r="A2633" s="366"/>
    </row>
    <row r="2634" spans="1:1" x14ac:dyDescent="0.2">
      <c r="A2634" s="366"/>
    </row>
    <row r="2635" spans="1:1" x14ac:dyDescent="0.2">
      <c r="A2635" s="366"/>
    </row>
    <row r="2636" spans="1:1" x14ac:dyDescent="0.2">
      <c r="A2636" s="366"/>
    </row>
    <row r="2637" spans="1:1" x14ac:dyDescent="0.2">
      <c r="A2637" s="366"/>
    </row>
    <row r="2638" spans="1:1" x14ac:dyDescent="0.2">
      <c r="A2638" s="366"/>
    </row>
    <row r="2639" spans="1:1" x14ac:dyDescent="0.2">
      <c r="A2639" s="366"/>
    </row>
    <row r="2640" spans="1:1" x14ac:dyDescent="0.2">
      <c r="A2640" s="366"/>
    </row>
    <row r="2641" spans="1:1" x14ac:dyDescent="0.2">
      <c r="A2641" s="366"/>
    </row>
    <row r="2642" spans="1:1" x14ac:dyDescent="0.2">
      <c r="A2642" s="366"/>
    </row>
    <row r="2643" spans="1:1" x14ac:dyDescent="0.2">
      <c r="A2643" s="366"/>
    </row>
    <row r="2644" spans="1:1" x14ac:dyDescent="0.2">
      <c r="A2644" s="366"/>
    </row>
    <row r="2645" spans="1:1" x14ac:dyDescent="0.2">
      <c r="A2645" s="366"/>
    </row>
    <row r="2646" spans="1:1" x14ac:dyDescent="0.2">
      <c r="A2646" s="366"/>
    </row>
    <row r="2647" spans="1:1" x14ac:dyDescent="0.2">
      <c r="A2647" s="366"/>
    </row>
    <row r="2648" spans="1:1" x14ac:dyDescent="0.2">
      <c r="A2648" s="366"/>
    </row>
    <row r="2649" spans="1:1" x14ac:dyDescent="0.2">
      <c r="A2649" s="366"/>
    </row>
    <row r="2650" spans="1:1" x14ac:dyDescent="0.2">
      <c r="A2650" s="366"/>
    </row>
    <row r="2651" spans="1:1" x14ac:dyDescent="0.2">
      <c r="A2651" s="366"/>
    </row>
    <row r="2652" spans="1:1" x14ac:dyDescent="0.2">
      <c r="A2652" s="366"/>
    </row>
    <row r="2653" spans="1:1" x14ac:dyDescent="0.2">
      <c r="A2653" s="366"/>
    </row>
    <row r="2654" spans="1:1" x14ac:dyDescent="0.2">
      <c r="A2654" s="366"/>
    </row>
    <row r="2655" spans="1:1" x14ac:dyDescent="0.2">
      <c r="A2655" s="366"/>
    </row>
    <row r="2656" spans="1:1" x14ac:dyDescent="0.2">
      <c r="A2656" s="366"/>
    </row>
    <row r="2657" spans="1:1" x14ac:dyDescent="0.2">
      <c r="A2657" s="366"/>
    </row>
    <row r="2658" spans="1:1" x14ac:dyDescent="0.2">
      <c r="A2658" s="366"/>
    </row>
    <row r="2659" spans="1:1" x14ac:dyDescent="0.2">
      <c r="A2659" s="366"/>
    </row>
    <row r="2660" spans="1:1" x14ac:dyDescent="0.2">
      <c r="A2660" s="366"/>
    </row>
    <row r="2661" spans="1:1" x14ac:dyDescent="0.2">
      <c r="A2661" s="366"/>
    </row>
    <row r="2662" spans="1:1" x14ac:dyDescent="0.2">
      <c r="A2662" s="366"/>
    </row>
    <row r="2663" spans="1:1" x14ac:dyDescent="0.2">
      <c r="A2663" s="366"/>
    </row>
    <row r="2664" spans="1:1" x14ac:dyDescent="0.2">
      <c r="A2664" s="366"/>
    </row>
    <row r="2665" spans="1:1" x14ac:dyDescent="0.2">
      <c r="A2665" s="366"/>
    </row>
    <row r="2666" spans="1:1" x14ac:dyDescent="0.2">
      <c r="A2666" s="366"/>
    </row>
    <row r="2667" spans="1:1" x14ac:dyDescent="0.2">
      <c r="A2667" s="366"/>
    </row>
    <row r="2668" spans="1:1" x14ac:dyDescent="0.2">
      <c r="A2668" s="366"/>
    </row>
    <row r="2669" spans="1:1" x14ac:dyDescent="0.2">
      <c r="A2669" s="366"/>
    </row>
    <row r="2670" spans="1:1" x14ac:dyDescent="0.2">
      <c r="A2670" s="366"/>
    </row>
    <row r="2671" spans="1:1" x14ac:dyDescent="0.2">
      <c r="A2671" s="366"/>
    </row>
    <row r="2672" spans="1:1" x14ac:dyDescent="0.2">
      <c r="A2672" s="366"/>
    </row>
    <row r="2673" spans="1:1" x14ac:dyDescent="0.2">
      <c r="A2673" s="366"/>
    </row>
    <row r="2674" spans="1:1" x14ac:dyDescent="0.2">
      <c r="A2674" s="366"/>
    </row>
    <row r="2675" spans="1:1" x14ac:dyDescent="0.2">
      <c r="A2675" s="366"/>
    </row>
    <row r="2676" spans="1:1" x14ac:dyDescent="0.2">
      <c r="A2676" s="366"/>
    </row>
    <row r="2677" spans="1:1" x14ac:dyDescent="0.2">
      <c r="A2677" s="366"/>
    </row>
    <row r="2678" spans="1:1" x14ac:dyDescent="0.2">
      <c r="A2678" s="366"/>
    </row>
    <row r="2679" spans="1:1" x14ac:dyDescent="0.2">
      <c r="A2679" s="366"/>
    </row>
    <row r="2680" spans="1:1" x14ac:dyDescent="0.2">
      <c r="A2680" s="366"/>
    </row>
    <row r="2681" spans="1:1" x14ac:dyDescent="0.2">
      <c r="A2681" s="366"/>
    </row>
    <row r="2682" spans="1:1" x14ac:dyDescent="0.2">
      <c r="A2682" s="366"/>
    </row>
    <row r="2683" spans="1:1" x14ac:dyDescent="0.2">
      <c r="A2683" s="366"/>
    </row>
    <row r="2684" spans="1:1" x14ac:dyDescent="0.2">
      <c r="A2684" s="366"/>
    </row>
    <row r="2685" spans="1:1" x14ac:dyDescent="0.2">
      <c r="A2685" s="366"/>
    </row>
    <row r="2686" spans="1:1" x14ac:dyDescent="0.2">
      <c r="A2686" s="366"/>
    </row>
    <row r="2687" spans="1:1" x14ac:dyDescent="0.2">
      <c r="A2687" s="366"/>
    </row>
    <row r="2688" spans="1:1" x14ac:dyDescent="0.2">
      <c r="A2688" s="366"/>
    </row>
    <row r="2689" spans="1:1" x14ac:dyDescent="0.2">
      <c r="A2689" s="366"/>
    </row>
    <row r="2690" spans="1:1" x14ac:dyDescent="0.2">
      <c r="A2690" s="366"/>
    </row>
    <row r="2691" spans="1:1" x14ac:dyDescent="0.2">
      <c r="A2691" s="366"/>
    </row>
    <row r="2692" spans="1:1" x14ac:dyDescent="0.2">
      <c r="A2692" s="366"/>
    </row>
    <row r="2693" spans="1:1" x14ac:dyDescent="0.2">
      <c r="A2693" s="366"/>
    </row>
    <row r="2694" spans="1:1" x14ac:dyDescent="0.2">
      <c r="A2694" s="366"/>
    </row>
    <row r="2695" spans="1:1" x14ac:dyDescent="0.2">
      <c r="A2695" s="366"/>
    </row>
    <row r="2696" spans="1:1" x14ac:dyDescent="0.2">
      <c r="A2696" s="366"/>
    </row>
    <row r="2697" spans="1:1" x14ac:dyDescent="0.2">
      <c r="A2697" s="366"/>
    </row>
    <row r="2698" spans="1:1" x14ac:dyDescent="0.2">
      <c r="A2698" s="366"/>
    </row>
    <row r="2699" spans="1:1" x14ac:dyDescent="0.2">
      <c r="A2699" s="366"/>
    </row>
    <row r="2700" spans="1:1" x14ac:dyDescent="0.2">
      <c r="A2700" s="366"/>
    </row>
    <row r="2701" spans="1:1" x14ac:dyDescent="0.2">
      <c r="A2701" s="366"/>
    </row>
    <row r="2702" spans="1:1" x14ac:dyDescent="0.2">
      <c r="A2702" s="366"/>
    </row>
    <row r="2703" spans="1:1" x14ac:dyDescent="0.2">
      <c r="A2703" s="366"/>
    </row>
    <row r="2704" spans="1:1" x14ac:dyDescent="0.2">
      <c r="A2704" s="366"/>
    </row>
    <row r="2705" spans="1:1" x14ac:dyDescent="0.2">
      <c r="A2705" s="366"/>
    </row>
    <row r="2706" spans="1:1" x14ac:dyDescent="0.2">
      <c r="A2706" s="366"/>
    </row>
    <row r="2707" spans="1:1" x14ac:dyDescent="0.2">
      <c r="A2707" s="366"/>
    </row>
    <row r="2708" spans="1:1" x14ac:dyDescent="0.2">
      <c r="A2708" s="366"/>
    </row>
    <row r="2709" spans="1:1" x14ac:dyDescent="0.2">
      <c r="A2709" s="366"/>
    </row>
    <row r="2710" spans="1:1" x14ac:dyDescent="0.2">
      <c r="A2710" s="366"/>
    </row>
    <row r="2711" spans="1:1" x14ac:dyDescent="0.2">
      <c r="A2711" s="366"/>
    </row>
    <row r="2712" spans="1:1" x14ac:dyDescent="0.2">
      <c r="A2712" s="366"/>
    </row>
    <row r="2713" spans="1:1" x14ac:dyDescent="0.2">
      <c r="A2713" s="366"/>
    </row>
    <row r="2714" spans="1:1" x14ac:dyDescent="0.2">
      <c r="A2714" s="366"/>
    </row>
    <row r="2715" spans="1:1" x14ac:dyDescent="0.2">
      <c r="A2715" s="366"/>
    </row>
    <row r="2716" spans="1:1" x14ac:dyDescent="0.2">
      <c r="A2716" s="366"/>
    </row>
    <row r="2717" spans="1:1" x14ac:dyDescent="0.2">
      <c r="A2717" s="366"/>
    </row>
    <row r="2718" spans="1:1" x14ac:dyDescent="0.2">
      <c r="A2718" s="366"/>
    </row>
    <row r="2719" spans="1:1" x14ac:dyDescent="0.2">
      <c r="A2719" s="366"/>
    </row>
    <row r="2720" spans="1:1" x14ac:dyDescent="0.2">
      <c r="A2720" s="366"/>
    </row>
    <row r="2721" spans="1:1" x14ac:dyDescent="0.2">
      <c r="A2721" s="366"/>
    </row>
    <row r="2722" spans="1:1" x14ac:dyDescent="0.2">
      <c r="A2722" s="366"/>
    </row>
    <row r="2723" spans="1:1" x14ac:dyDescent="0.2">
      <c r="A2723" s="366"/>
    </row>
    <row r="2724" spans="1:1" x14ac:dyDescent="0.2">
      <c r="A2724" s="366"/>
    </row>
    <row r="2725" spans="1:1" x14ac:dyDescent="0.2">
      <c r="A2725" s="366"/>
    </row>
    <row r="2726" spans="1:1" x14ac:dyDescent="0.2">
      <c r="A2726" s="366"/>
    </row>
    <row r="2727" spans="1:1" x14ac:dyDescent="0.2">
      <c r="A2727" s="366"/>
    </row>
    <row r="2728" spans="1:1" x14ac:dyDescent="0.2">
      <c r="A2728" s="366"/>
    </row>
    <row r="2729" spans="1:1" x14ac:dyDescent="0.2">
      <c r="A2729" s="366"/>
    </row>
    <row r="2730" spans="1:1" x14ac:dyDescent="0.2">
      <c r="A2730" s="366"/>
    </row>
    <row r="2731" spans="1:1" x14ac:dyDescent="0.2">
      <c r="A2731" s="366"/>
    </row>
    <row r="2732" spans="1:1" x14ac:dyDescent="0.2">
      <c r="A2732" s="366"/>
    </row>
    <row r="2733" spans="1:1" x14ac:dyDescent="0.2">
      <c r="A2733" s="366"/>
    </row>
    <row r="2734" spans="1:1" x14ac:dyDescent="0.2">
      <c r="A2734" s="366"/>
    </row>
    <row r="2735" spans="1:1" x14ac:dyDescent="0.2">
      <c r="A2735" s="366"/>
    </row>
    <row r="2736" spans="1:1" x14ac:dyDescent="0.2">
      <c r="A2736" s="366"/>
    </row>
    <row r="2737" spans="1:1" x14ac:dyDescent="0.2">
      <c r="A2737" s="366"/>
    </row>
    <row r="2738" spans="1:1" x14ac:dyDescent="0.2">
      <c r="A2738" s="366"/>
    </row>
    <row r="2739" spans="1:1" x14ac:dyDescent="0.2">
      <c r="A2739" s="366"/>
    </row>
    <row r="2740" spans="1:1" x14ac:dyDescent="0.2">
      <c r="A2740" s="366"/>
    </row>
    <row r="2741" spans="1:1" x14ac:dyDescent="0.2">
      <c r="A2741" s="366"/>
    </row>
    <row r="2742" spans="1:1" x14ac:dyDescent="0.2">
      <c r="A2742" s="366"/>
    </row>
    <row r="2743" spans="1:1" x14ac:dyDescent="0.2">
      <c r="A2743" s="366"/>
    </row>
    <row r="2744" spans="1:1" x14ac:dyDescent="0.2">
      <c r="A2744" s="366"/>
    </row>
    <row r="2745" spans="1:1" x14ac:dyDescent="0.2">
      <c r="A2745" s="366"/>
    </row>
    <row r="2746" spans="1:1" x14ac:dyDescent="0.2">
      <c r="A2746" s="366"/>
    </row>
    <row r="2747" spans="1:1" x14ac:dyDescent="0.2">
      <c r="A2747" s="366"/>
    </row>
    <row r="2748" spans="1:1" x14ac:dyDescent="0.2">
      <c r="A2748" s="366"/>
    </row>
    <row r="2749" spans="1:1" x14ac:dyDescent="0.2">
      <c r="A2749" s="366"/>
    </row>
    <row r="2750" spans="1:1" x14ac:dyDescent="0.2">
      <c r="A2750" s="366"/>
    </row>
    <row r="2751" spans="1:1" x14ac:dyDescent="0.2">
      <c r="A2751" s="366"/>
    </row>
    <row r="2752" spans="1:1" x14ac:dyDescent="0.2">
      <c r="A2752" s="366"/>
    </row>
    <row r="2753" spans="1:1" x14ac:dyDescent="0.2">
      <c r="A2753" s="366"/>
    </row>
    <row r="2754" spans="1:1" x14ac:dyDescent="0.2">
      <c r="A2754" s="366"/>
    </row>
    <row r="2755" spans="1:1" x14ac:dyDescent="0.2">
      <c r="A2755" s="366"/>
    </row>
    <row r="2756" spans="1:1" x14ac:dyDescent="0.2">
      <c r="A2756" s="366"/>
    </row>
    <row r="2757" spans="1:1" x14ac:dyDescent="0.2">
      <c r="A2757" s="366"/>
    </row>
    <row r="2758" spans="1:1" x14ac:dyDescent="0.2">
      <c r="A2758" s="366"/>
    </row>
    <row r="2759" spans="1:1" x14ac:dyDescent="0.2">
      <c r="A2759" s="366"/>
    </row>
    <row r="2760" spans="1:1" x14ac:dyDescent="0.2">
      <c r="A2760" s="366"/>
    </row>
    <row r="2761" spans="1:1" x14ac:dyDescent="0.2">
      <c r="A2761" s="366"/>
    </row>
    <row r="2762" spans="1:1" x14ac:dyDescent="0.2">
      <c r="A2762" s="366"/>
    </row>
    <row r="2763" spans="1:1" x14ac:dyDescent="0.2">
      <c r="A2763" s="366"/>
    </row>
    <row r="2764" spans="1:1" x14ac:dyDescent="0.2">
      <c r="A2764" s="366"/>
    </row>
    <row r="2765" spans="1:1" x14ac:dyDescent="0.2">
      <c r="A2765" s="366"/>
    </row>
    <row r="2766" spans="1:1" x14ac:dyDescent="0.2">
      <c r="A2766" s="366"/>
    </row>
    <row r="2767" spans="1:1" x14ac:dyDescent="0.2">
      <c r="A2767" s="366"/>
    </row>
    <row r="2768" spans="1:1" x14ac:dyDescent="0.2">
      <c r="A2768" s="366"/>
    </row>
    <row r="2769" spans="1:1" x14ac:dyDescent="0.2">
      <c r="A2769" s="366"/>
    </row>
    <row r="2770" spans="1:1" x14ac:dyDescent="0.2">
      <c r="A2770" s="366"/>
    </row>
    <row r="2771" spans="1:1" x14ac:dyDescent="0.2">
      <c r="A2771" s="366"/>
    </row>
    <row r="2772" spans="1:1" x14ac:dyDescent="0.2">
      <c r="A2772" s="366"/>
    </row>
    <row r="2773" spans="1:1" x14ac:dyDescent="0.2">
      <c r="A2773" s="366"/>
    </row>
    <row r="2774" spans="1:1" x14ac:dyDescent="0.2">
      <c r="A2774" s="366"/>
    </row>
    <row r="2775" spans="1:1" x14ac:dyDescent="0.2">
      <c r="A2775" s="366"/>
    </row>
    <row r="2776" spans="1:1" x14ac:dyDescent="0.2">
      <c r="A2776" s="366"/>
    </row>
    <row r="2777" spans="1:1" x14ac:dyDescent="0.2">
      <c r="A2777" s="366"/>
    </row>
    <row r="2778" spans="1:1" x14ac:dyDescent="0.2">
      <c r="A2778" s="366"/>
    </row>
    <row r="2779" spans="1:1" x14ac:dyDescent="0.2">
      <c r="A2779" s="366"/>
    </row>
    <row r="2780" spans="1:1" x14ac:dyDescent="0.2">
      <c r="A2780" s="366"/>
    </row>
    <row r="2781" spans="1:1" x14ac:dyDescent="0.2">
      <c r="A2781" s="366"/>
    </row>
    <row r="2782" spans="1:1" x14ac:dyDescent="0.2">
      <c r="A2782" s="366"/>
    </row>
    <row r="2783" spans="1:1" x14ac:dyDescent="0.2">
      <c r="A2783" s="366"/>
    </row>
    <row r="2784" spans="1:1" x14ac:dyDescent="0.2">
      <c r="A2784" s="366"/>
    </row>
    <row r="2785" spans="1:1" x14ac:dyDescent="0.2">
      <c r="A2785" s="366"/>
    </row>
    <row r="2786" spans="1:1" x14ac:dyDescent="0.2">
      <c r="A2786" s="366"/>
    </row>
    <row r="2787" spans="1:1" x14ac:dyDescent="0.2">
      <c r="A2787" s="366"/>
    </row>
    <row r="2788" spans="1:1" x14ac:dyDescent="0.2">
      <c r="A2788" s="366"/>
    </row>
    <row r="2789" spans="1:1" x14ac:dyDescent="0.2">
      <c r="A2789" s="366"/>
    </row>
    <row r="2790" spans="1:1" x14ac:dyDescent="0.2">
      <c r="A2790" s="366"/>
    </row>
    <row r="2791" spans="1:1" x14ac:dyDescent="0.2">
      <c r="A2791" s="366"/>
    </row>
    <row r="2792" spans="1:1" x14ac:dyDescent="0.2">
      <c r="A2792" s="366"/>
    </row>
    <row r="2793" spans="1:1" x14ac:dyDescent="0.2">
      <c r="A2793" s="366"/>
    </row>
    <row r="2794" spans="1:1" x14ac:dyDescent="0.2">
      <c r="A2794" s="366"/>
    </row>
    <row r="2795" spans="1:1" x14ac:dyDescent="0.2">
      <c r="A2795" s="366"/>
    </row>
    <row r="2796" spans="1:1" x14ac:dyDescent="0.2">
      <c r="A2796" s="366"/>
    </row>
    <row r="2797" spans="1:1" x14ac:dyDescent="0.2">
      <c r="A2797" s="366"/>
    </row>
    <row r="2798" spans="1:1" x14ac:dyDescent="0.2">
      <c r="A2798" s="366"/>
    </row>
    <row r="2799" spans="1:1" x14ac:dyDescent="0.2">
      <c r="A2799" s="366"/>
    </row>
    <row r="2800" spans="1:1" x14ac:dyDescent="0.2">
      <c r="A2800" s="366"/>
    </row>
    <row r="2801" spans="1:1" x14ac:dyDescent="0.2">
      <c r="A2801" s="366"/>
    </row>
    <row r="2802" spans="1:1" x14ac:dyDescent="0.2">
      <c r="A2802" s="366"/>
    </row>
    <row r="2803" spans="1:1" x14ac:dyDescent="0.2">
      <c r="A2803" s="366"/>
    </row>
    <row r="2804" spans="1:1" x14ac:dyDescent="0.2">
      <c r="A2804" s="366"/>
    </row>
    <row r="2805" spans="1:1" x14ac:dyDescent="0.2">
      <c r="A2805" s="366"/>
    </row>
    <row r="2806" spans="1:1" x14ac:dyDescent="0.2">
      <c r="A2806" s="366"/>
    </row>
    <row r="2807" spans="1:1" x14ac:dyDescent="0.2">
      <c r="A2807" s="366"/>
    </row>
    <row r="2808" spans="1:1" x14ac:dyDescent="0.2">
      <c r="A2808" s="366"/>
    </row>
    <row r="2809" spans="1:1" x14ac:dyDescent="0.2">
      <c r="A2809" s="366"/>
    </row>
    <row r="2810" spans="1:1" x14ac:dyDescent="0.2">
      <c r="A2810" s="366"/>
    </row>
    <row r="2811" spans="1:1" x14ac:dyDescent="0.2">
      <c r="A2811" s="366"/>
    </row>
    <row r="2812" spans="1:1" x14ac:dyDescent="0.2">
      <c r="A2812" s="366"/>
    </row>
    <row r="2813" spans="1:1" x14ac:dyDescent="0.2">
      <c r="A2813" s="366"/>
    </row>
    <row r="2814" spans="1:1" x14ac:dyDescent="0.2">
      <c r="A2814" s="366"/>
    </row>
    <row r="2815" spans="1:1" x14ac:dyDescent="0.2">
      <c r="A2815" s="366"/>
    </row>
    <row r="2816" spans="1:1" x14ac:dyDescent="0.2">
      <c r="A2816" s="366"/>
    </row>
    <row r="2817" spans="1:1" x14ac:dyDescent="0.2">
      <c r="A2817" s="366"/>
    </row>
    <row r="2818" spans="1:1" x14ac:dyDescent="0.2">
      <c r="A2818" s="366"/>
    </row>
    <row r="2819" spans="1:1" x14ac:dyDescent="0.2">
      <c r="A2819" s="366"/>
    </row>
    <row r="2820" spans="1:1" x14ac:dyDescent="0.2">
      <c r="A2820" s="366"/>
    </row>
    <row r="2821" spans="1:1" x14ac:dyDescent="0.2">
      <c r="A2821" s="366"/>
    </row>
    <row r="2822" spans="1:1" x14ac:dyDescent="0.2">
      <c r="A2822" s="366"/>
    </row>
    <row r="2823" spans="1:1" x14ac:dyDescent="0.2">
      <c r="A2823" s="366"/>
    </row>
    <row r="2824" spans="1:1" x14ac:dyDescent="0.2">
      <c r="A2824" s="366"/>
    </row>
    <row r="2825" spans="1:1" x14ac:dyDescent="0.2">
      <c r="A2825" s="366"/>
    </row>
    <row r="2826" spans="1:1" x14ac:dyDescent="0.2">
      <c r="A2826" s="366"/>
    </row>
    <row r="2827" spans="1:1" x14ac:dyDescent="0.2">
      <c r="A2827" s="366"/>
    </row>
    <row r="2828" spans="1:1" x14ac:dyDescent="0.2">
      <c r="A2828" s="366"/>
    </row>
    <row r="2829" spans="1:1" x14ac:dyDescent="0.2">
      <c r="A2829" s="366"/>
    </row>
    <row r="2830" spans="1:1" x14ac:dyDescent="0.2">
      <c r="A2830" s="366"/>
    </row>
    <row r="2831" spans="1:1" x14ac:dyDescent="0.2">
      <c r="A2831" s="366"/>
    </row>
    <row r="2832" spans="1:1" x14ac:dyDescent="0.2">
      <c r="A2832" s="366"/>
    </row>
    <row r="2833" spans="1:1" x14ac:dyDescent="0.2">
      <c r="A2833" s="366"/>
    </row>
    <row r="2834" spans="1:1" x14ac:dyDescent="0.2">
      <c r="A2834" s="366"/>
    </row>
    <row r="2835" spans="1:1" x14ac:dyDescent="0.2">
      <c r="A2835" s="366"/>
    </row>
    <row r="2836" spans="1:1" x14ac:dyDescent="0.2">
      <c r="A2836" s="366"/>
    </row>
    <row r="2837" spans="1:1" x14ac:dyDescent="0.2">
      <c r="A2837" s="366"/>
    </row>
    <row r="2838" spans="1:1" x14ac:dyDescent="0.2">
      <c r="A2838" s="366"/>
    </row>
    <row r="2839" spans="1:1" x14ac:dyDescent="0.2">
      <c r="A2839" s="366"/>
    </row>
    <row r="2840" spans="1:1" x14ac:dyDescent="0.2">
      <c r="A2840" s="366"/>
    </row>
    <row r="2841" spans="1:1" x14ac:dyDescent="0.2">
      <c r="A2841" s="366"/>
    </row>
    <row r="2842" spans="1:1" x14ac:dyDescent="0.2">
      <c r="A2842" s="366"/>
    </row>
    <row r="2843" spans="1:1" x14ac:dyDescent="0.2">
      <c r="A2843" s="366"/>
    </row>
    <row r="2844" spans="1:1" x14ac:dyDescent="0.2">
      <c r="A2844" s="366"/>
    </row>
    <row r="2845" spans="1:1" x14ac:dyDescent="0.2">
      <c r="A2845" s="366"/>
    </row>
    <row r="2846" spans="1:1" x14ac:dyDescent="0.2">
      <c r="A2846" s="366"/>
    </row>
    <row r="2847" spans="1:1" x14ac:dyDescent="0.2">
      <c r="A2847" s="366"/>
    </row>
    <row r="2848" spans="1:1" x14ac:dyDescent="0.2">
      <c r="A2848" s="366"/>
    </row>
    <row r="2849" spans="1:1" x14ac:dyDescent="0.2">
      <c r="A2849" s="366"/>
    </row>
    <row r="2850" spans="1:1" x14ac:dyDescent="0.2">
      <c r="A2850" s="366"/>
    </row>
    <row r="2851" spans="1:1" x14ac:dyDescent="0.2">
      <c r="A2851" s="366"/>
    </row>
    <row r="2852" spans="1:1" x14ac:dyDescent="0.2">
      <c r="A2852" s="366"/>
    </row>
    <row r="2853" spans="1:1" x14ac:dyDescent="0.2">
      <c r="A2853" s="366"/>
    </row>
    <row r="2854" spans="1:1" x14ac:dyDescent="0.2">
      <c r="A2854" s="366"/>
    </row>
    <row r="2855" spans="1:1" x14ac:dyDescent="0.2">
      <c r="A2855" s="366"/>
    </row>
    <row r="2856" spans="1:1" x14ac:dyDescent="0.2">
      <c r="A2856" s="366"/>
    </row>
    <row r="2857" spans="1:1" x14ac:dyDescent="0.2">
      <c r="A2857" s="366"/>
    </row>
    <row r="2858" spans="1:1" x14ac:dyDescent="0.2">
      <c r="A2858" s="366"/>
    </row>
    <row r="2859" spans="1:1" x14ac:dyDescent="0.2">
      <c r="A2859" s="366"/>
    </row>
    <row r="2860" spans="1:1" x14ac:dyDescent="0.2">
      <c r="A2860" s="366"/>
    </row>
    <row r="2861" spans="1:1" x14ac:dyDescent="0.2">
      <c r="A2861" s="366"/>
    </row>
    <row r="2862" spans="1:1" x14ac:dyDescent="0.2">
      <c r="A2862" s="366"/>
    </row>
    <row r="2863" spans="1:1" x14ac:dyDescent="0.2">
      <c r="A2863" s="366"/>
    </row>
    <row r="2864" spans="1:1" x14ac:dyDescent="0.2">
      <c r="A2864" s="366"/>
    </row>
    <row r="2865" spans="1:1" x14ac:dyDescent="0.2">
      <c r="A2865" s="366"/>
    </row>
    <row r="2866" spans="1:1" x14ac:dyDescent="0.2">
      <c r="A2866" s="366"/>
    </row>
    <row r="2867" spans="1:1" x14ac:dyDescent="0.2">
      <c r="A2867" s="366"/>
    </row>
    <row r="2868" spans="1:1" x14ac:dyDescent="0.2">
      <c r="A2868" s="366"/>
    </row>
    <row r="2869" spans="1:1" x14ac:dyDescent="0.2">
      <c r="A2869" s="366"/>
    </row>
    <row r="2870" spans="1:1" x14ac:dyDescent="0.2">
      <c r="A2870" s="366"/>
    </row>
    <row r="2871" spans="1:1" x14ac:dyDescent="0.2">
      <c r="A2871" s="366"/>
    </row>
    <row r="2872" spans="1:1" x14ac:dyDescent="0.2">
      <c r="A2872" s="366"/>
    </row>
    <row r="2873" spans="1:1" x14ac:dyDescent="0.2">
      <c r="A2873" s="366"/>
    </row>
    <row r="2874" spans="1:1" x14ac:dyDescent="0.2">
      <c r="A2874" s="366"/>
    </row>
    <row r="2875" spans="1:1" x14ac:dyDescent="0.2">
      <c r="A2875" s="366"/>
    </row>
    <row r="2876" spans="1:1" x14ac:dyDescent="0.2">
      <c r="A2876" s="366"/>
    </row>
    <row r="2877" spans="1:1" x14ac:dyDescent="0.2">
      <c r="A2877" s="366"/>
    </row>
    <row r="2878" spans="1:1" x14ac:dyDescent="0.2">
      <c r="A2878" s="366"/>
    </row>
    <row r="2879" spans="1:1" x14ac:dyDescent="0.2">
      <c r="A2879" s="366"/>
    </row>
    <row r="2880" spans="1:1" x14ac:dyDescent="0.2">
      <c r="A2880" s="366"/>
    </row>
    <row r="2881" spans="1:1" x14ac:dyDescent="0.2">
      <c r="A2881" s="366"/>
    </row>
    <row r="2882" spans="1:1" x14ac:dyDescent="0.2">
      <c r="A2882" s="366"/>
    </row>
    <row r="2883" spans="1:1" x14ac:dyDescent="0.2">
      <c r="A2883" s="366"/>
    </row>
    <row r="2884" spans="1:1" x14ac:dyDescent="0.2">
      <c r="A2884" s="366"/>
    </row>
    <row r="2885" spans="1:1" x14ac:dyDescent="0.2">
      <c r="A2885" s="366"/>
    </row>
    <row r="2886" spans="1:1" x14ac:dyDescent="0.2">
      <c r="A2886" s="366"/>
    </row>
    <row r="2887" spans="1:1" x14ac:dyDescent="0.2">
      <c r="A2887" s="366"/>
    </row>
    <row r="2888" spans="1:1" x14ac:dyDescent="0.2">
      <c r="A2888" s="366"/>
    </row>
    <row r="2889" spans="1:1" x14ac:dyDescent="0.2">
      <c r="A2889" s="366"/>
    </row>
    <row r="2890" spans="1:1" x14ac:dyDescent="0.2">
      <c r="A2890" s="366"/>
    </row>
    <row r="2891" spans="1:1" x14ac:dyDescent="0.2">
      <c r="A2891" s="366"/>
    </row>
    <row r="2892" spans="1:1" x14ac:dyDescent="0.2">
      <c r="A2892" s="366"/>
    </row>
    <row r="2893" spans="1:1" x14ac:dyDescent="0.2">
      <c r="A2893" s="366"/>
    </row>
    <row r="2894" spans="1:1" x14ac:dyDescent="0.2">
      <c r="A2894" s="366"/>
    </row>
    <row r="2895" spans="1:1" x14ac:dyDescent="0.2">
      <c r="A2895" s="366"/>
    </row>
    <row r="2896" spans="1:1" x14ac:dyDescent="0.2">
      <c r="A2896" s="366"/>
    </row>
    <row r="2897" spans="1:1" x14ac:dyDescent="0.2">
      <c r="A2897" s="366"/>
    </row>
    <row r="2898" spans="1:1" x14ac:dyDescent="0.2">
      <c r="A2898" s="366"/>
    </row>
    <row r="2899" spans="1:1" x14ac:dyDescent="0.2">
      <c r="A2899" s="366"/>
    </row>
    <row r="2900" spans="1:1" x14ac:dyDescent="0.2">
      <c r="A2900" s="366"/>
    </row>
    <row r="2901" spans="1:1" x14ac:dyDescent="0.2">
      <c r="A2901" s="366"/>
    </row>
    <row r="2902" spans="1:1" x14ac:dyDescent="0.2">
      <c r="A2902" s="366"/>
    </row>
    <row r="2903" spans="1:1" x14ac:dyDescent="0.2">
      <c r="A2903" s="366"/>
    </row>
    <row r="2904" spans="1:1" x14ac:dyDescent="0.2">
      <c r="A2904" s="366"/>
    </row>
    <row r="2905" spans="1:1" x14ac:dyDescent="0.2">
      <c r="A2905" s="366"/>
    </row>
    <row r="2906" spans="1:1" x14ac:dyDescent="0.2">
      <c r="A2906" s="366"/>
    </row>
    <row r="2907" spans="1:1" x14ac:dyDescent="0.2">
      <c r="A2907" s="366"/>
    </row>
    <row r="2908" spans="1:1" x14ac:dyDescent="0.2">
      <c r="A2908" s="366"/>
    </row>
    <row r="2909" spans="1:1" x14ac:dyDescent="0.2">
      <c r="A2909" s="366"/>
    </row>
    <row r="2910" spans="1:1" x14ac:dyDescent="0.2">
      <c r="A2910" s="366"/>
    </row>
    <row r="2911" spans="1:1" x14ac:dyDescent="0.2">
      <c r="A2911" s="366"/>
    </row>
    <row r="2912" spans="1:1" x14ac:dyDescent="0.2">
      <c r="A2912" s="366"/>
    </row>
    <row r="2913" spans="1:1" x14ac:dyDescent="0.2">
      <c r="A2913" s="366"/>
    </row>
    <row r="2914" spans="1:1" x14ac:dyDescent="0.2">
      <c r="A2914" s="366"/>
    </row>
    <row r="2915" spans="1:1" x14ac:dyDescent="0.2">
      <c r="A2915" s="366"/>
    </row>
    <row r="2916" spans="1:1" x14ac:dyDescent="0.2">
      <c r="A2916" s="366"/>
    </row>
    <row r="2917" spans="1:1" x14ac:dyDescent="0.2">
      <c r="A2917" s="366"/>
    </row>
    <row r="2918" spans="1:1" x14ac:dyDescent="0.2">
      <c r="A2918" s="366"/>
    </row>
    <row r="2919" spans="1:1" x14ac:dyDescent="0.2">
      <c r="A2919" s="366"/>
    </row>
    <row r="2920" spans="1:1" x14ac:dyDescent="0.2">
      <c r="A2920" s="366"/>
    </row>
    <row r="2921" spans="1:1" x14ac:dyDescent="0.2">
      <c r="A2921" s="366"/>
    </row>
    <row r="2922" spans="1:1" x14ac:dyDescent="0.2">
      <c r="A2922" s="366"/>
    </row>
    <row r="2923" spans="1:1" x14ac:dyDescent="0.2">
      <c r="A2923" s="366"/>
    </row>
    <row r="2924" spans="1:1" x14ac:dyDescent="0.2">
      <c r="A2924" s="366"/>
    </row>
    <row r="2925" spans="1:1" x14ac:dyDescent="0.2">
      <c r="A2925" s="366"/>
    </row>
    <row r="2926" spans="1:1" x14ac:dyDescent="0.2">
      <c r="A2926" s="366"/>
    </row>
    <row r="2927" spans="1:1" x14ac:dyDescent="0.2">
      <c r="A2927" s="366"/>
    </row>
    <row r="2928" spans="1:1" x14ac:dyDescent="0.2">
      <c r="A2928" s="366"/>
    </row>
    <row r="2929" spans="1:1" x14ac:dyDescent="0.2">
      <c r="A2929" s="366"/>
    </row>
    <row r="2930" spans="1:1" x14ac:dyDescent="0.2">
      <c r="A2930" s="366"/>
    </row>
    <row r="2931" spans="1:1" x14ac:dyDescent="0.2">
      <c r="A2931" s="366"/>
    </row>
    <row r="2932" spans="1:1" x14ac:dyDescent="0.2">
      <c r="A2932" s="366"/>
    </row>
    <row r="2933" spans="1:1" x14ac:dyDescent="0.2">
      <c r="A2933" s="366"/>
    </row>
    <row r="2934" spans="1:1" x14ac:dyDescent="0.2">
      <c r="A2934" s="366"/>
    </row>
    <row r="2935" spans="1:1" x14ac:dyDescent="0.2">
      <c r="A2935" s="366"/>
    </row>
    <row r="2936" spans="1:1" x14ac:dyDescent="0.2">
      <c r="A2936" s="366"/>
    </row>
    <row r="2937" spans="1:1" x14ac:dyDescent="0.2">
      <c r="A2937" s="366"/>
    </row>
    <row r="2938" spans="1:1" x14ac:dyDescent="0.2">
      <c r="A2938" s="366"/>
    </row>
    <row r="2939" spans="1:1" x14ac:dyDescent="0.2">
      <c r="A2939" s="366"/>
    </row>
    <row r="2940" spans="1:1" x14ac:dyDescent="0.2">
      <c r="A2940" s="366"/>
    </row>
    <row r="2941" spans="1:1" x14ac:dyDescent="0.2">
      <c r="A2941" s="366"/>
    </row>
    <row r="2942" spans="1:1" x14ac:dyDescent="0.2">
      <c r="A2942" s="366"/>
    </row>
    <row r="2943" spans="1:1" x14ac:dyDescent="0.2">
      <c r="A2943" s="366"/>
    </row>
    <row r="2944" spans="1:1" x14ac:dyDescent="0.2">
      <c r="A2944" s="366"/>
    </row>
    <row r="2945" spans="1:1" x14ac:dyDescent="0.2">
      <c r="A2945" s="366"/>
    </row>
    <row r="2946" spans="1:1" x14ac:dyDescent="0.2">
      <c r="A2946" s="366"/>
    </row>
    <row r="2947" spans="1:1" x14ac:dyDescent="0.2">
      <c r="A2947" s="366"/>
    </row>
    <row r="2948" spans="1:1" x14ac:dyDescent="0.2">
      <c r="A2948" s="366"/>
    </row>
    <row r="2949" spans="1:1" x14ac:dyDescent="0.2">
      <c r="A2949" s="366"/>
    </row>
    <row r="2950" spans="1:1" x14ac:dyDescent="0.2">
      <c r="A2950" s="366"/>
    </row>
    <row r="2951" spans="1:1" x14ac:dyDescent="0.2">
      <c r="A2951" s="366"/>
    </row>
    <row r="2952" spans="1:1" x14ac:dyDescent="0.2">
      <c r="A2952" s="366"/>
    </row>
    <row r="2953" spans="1:1" x14ac:dyDescent="0.2">
      <c r="A2953" s="366"/>
    </row>
    <row r="2954" spans="1:1" x14ac:dyDescent="0.2">
      <c r="A2954" s="366"/>
    </row>
    <row r="2955" spans="1:1" x14ac:dyDescent="0.2">
      <c r="A2955" s="366"/>
    </row>
    <row r="2956" spans="1:1" x14ac:dyDescent="0.2">
      <c r="A2956" s="366"/>
    </row>
    <row r="2957" spans="1:1" x14ac:dyDescent="0.2">
      <c r="A2957" s="366"/>
    </row>
    <row r="2958" spans="1:1" x14ac:dyDescent="0.2">
      <c r="A2958" s="366"/>
    </row>
    <row r="2959" spans="1:1" x14ac:dyDescent="0.2">
      <c r="A2959" s="366"/>
    </row>
    <row r="2960" spans="1:1" x14ac:dyDescent="0.2">
      <c r="A2960" s="366"/>
    </row>
    <row r="2961" spans="1:1" x14ac:dyDescent="0.2">
      <c r="A2961" s="366"/>
    </row>
    <row r="2962" spans="1:1" x14ac:dyDescent="0.2">
      <c r="A2962" s="366"/>
    </row>
    <row r="2963" spans="1:1" x14ac:dyDescent="0.2">
      <c r="A2963" s="366"/>
    </row>
    <row r="2964" spans="1:1" x14ac:dyDescent="0.2">
      <c r="A2964" s="366"/>
    </row>
    <row r="2965" spans="1:1" x14ac:dyDescent="0.2">
      <c r="A2965" s="366"/>
    </row>
    <row r="2966" spans="1:1" x14ac:dyDescent="0.2">
      <c r="A2966" s="366"/>
    </row>
    <row r="2967" spans="1:1" x14ac:dyDescent="0.2">
      <c r="A2967" s="366"/>
    </row>
    <row r="2968" spans="1:1" x14ac:dyDescent="0.2">
      <c r="A2968" s="366"/>
    </row>
    <row r="2969" spans="1:1" x14ac:dyDescent="0.2">
      <c r="A2969" s="366"/>
    </row>
    <row r="2970" spans="1:1" x14ac:dyDescent="0.2">
      <c r="A2970" s="366"/>
    </row>
    <row r="2971" spans="1:1" x14ac:dyDescent="0.2">
      <c r="A2971" s="366"/>
    </row>
    <row r="2972" spans="1:1" x14ac:dyDescent="0.2">
      <c r="A2972" s="366"/>
    </row>
    <row r="2973" spans="1:1" x14ac:dyDescent="0.2">
      <c r="A2973" s="366"/>
    </row>
    <row r="2974" spans="1:1" x14ac:dyDescent="0.2">
      <c r="A2974" s="366"/>
    </row>
    <row r="2975" spans="1:1" x14ac:dyDescent="0.2">
      <c r="A2975" s="366"/>
    </row>
    <row r="2976" spans="1:1" x14ac:dyDescent="0.2">
      <c r="A2976" s="366"/>
    </row>
    <row r="2977" spans="1:1" x14ac:dyDescent="0.2">
      <c r="A2977" s="366"/>
    </row>
    <row r="2978" spans="1:1" x14ac:dyDescent="0.2">
      <c r="A2978" s="366"/>
    </row>
    <row r="2979" spans="1:1" x14ac:dyDescent="0.2">
      <c r="A2979" s="366"/>
    </row>
    <row r="2980" spans="1:1" x14ac:dyDescent="0.2">
      <c r="A2980" s="366"/>
    </row>
    <row r="2981" spans="1:1" x14ac:dyDescent="0.2">
      <c r="A2981" s="366"/>
    </row>
    <row r="2982" spans="1:1" x14ac:dyDescent="0.2">
      <c r="A2982" s="366"/>
    </row>
    <row r="2983" spans="1:1" x14ac:dyDescent="0.2">
      <c r="A2983" s="366"/>
    </row>
    <row r="2984" spans="1:1" x14ac:dyDescent="0.2">
      <c r="A2984" s="366"/>
    </row>
    <row r="2985" spans="1:1" x14ac:dyDescent="0.2">
      <c r="A2985" s="366"/>
    </row>
    <row r="2986" spans="1:1" x14ac:dyDescent="0.2">
      <c r="A2986" s="366"/>
    </row>
    <row r="2987" spans="1:1" x14ac:dyDescent="0.2">
      <c r="A2987" s="366"/>
    </row>
    <row r="2988" spans="1:1" x14ac:dyDescent="0.2">
      <c r="A2988" s="366"/>
    </row>
    <row r="2989" spans="1:1" x14ac:dyDescent="0.2">
      <c r="A2989" s="366"/>
    </row>
    <row r="2990" spans="1:1" x14ac:dyDescent="0.2">
      <c r="A2990" s="366"/>
    </row>
    <row r="2991" spans="1:1" x14ac:dyDescent="0.2">
      <c r="A2991" s="366"/>
    </row>
    <row r="2992" spans="1:1" x14ac:dyDescent="0.2">
      <c r="A2992" s="366"/>
    </row>
    <row r="2993" spans="1:1" x14ac:dyDescent="0.2">
      <c r="A2993" s="366"/>
    </row>
    <row r="2994" spans="1:1" x14ac:dyDescent="0.2">
      <c r="A2994" s="366"/>
    </row>
    <row r="2995" spans="1:1" x14ac:dyDescent="0.2">
      <c r="A2995" s="366"/>
    </row>
    <row r="2996" spans="1:1" x14ac:dyDescent="0.2">
      <c r="A2996" s="366"/>
    </row>
    <row r="2997" spans="1:1" x14ac:dyDescent="0.2">
      <c r="A2997" s="366"/>
    </row>
    <row r="2998" spans="1:1" x14ac:dyDescent="0.2">
      <c r="A2998" s="366"/>
    </row>
    <row r="2999" spans="1:1" x14ac:dyDescent="0.2">
      <c r="A2999" s="366"/>
    </row>
    <row r="3000" spans="1:1" x14ac:dyDescent="0.2">
      <c r="A3000" s="366"/>
    </row>
    <row r="3001" spans="1:1" x14ac:dyDescent="0.2">
      <c r="A3001" s="366"/>
    </row>
    <row r="3002" spans="1:1" x14ac:dyDescent="0.2">
      <c r="A3002" s="366"/>
    </row>
    <row r="3003" spans="1:1" x14ac:dyDescent="0.2">
      <c r="A3003" s="366"/>
    </row>
    <row r="3004" spans="1:1" x14ac:dyDescent="0.2">
      <c r="A3004" s="366"/>
    </row>
    <row r="3005" spans="1:1" x14ac:dyDescent="0.2">
      <c r="A3005" s="366"/>
    </row>
    <row r="3006" spans="1:1" x14ac:dyDescent="0.2">
      <c r="A3006" s="366"/>
    </row>
    <row r="3007" spans="1:1" x14ac:dyDescent="0.2">
      <c r="A3007" s="366"/>
    </row>
    <row r="3008" spans="1:1" x14ac:dyDescent="0.2">
      <c r="A3008" s="366"/>
    </row>
    <row r="3009" spans="1:1" x14ac:dyDescent="0.2">
      <c r="A3009" s="366"/>
    </row>
    <row r="3010" spans="1:1" x14ac:dyDescent="0.2">
      <c r="A3010" s="366"/>
    </row>
    <row r="3011" spans="1:1" x14ac:dyDescent="0.2">
      <c r="A3011" s="366"/>
    </row>
    <row r="3012" spans="1:1" x14ac:dyDescent="0.2">
      <c r="A3012" s="366"/>
    </row>
    <row r="3013" spans="1:1" x14ac:dyDescent="0.2">
      <c r="A3013" s="366"/>
    </row>
    <row r="3014" spans="1:1" x14ac:dyDescent="0.2">
      <c r="A3014" s="366"/>
    </row>
    <row r="3015" spans="1:1" x14ac:dyDescent="0.2">
      <c r="A3015" s="366"/>
    </row>
    <row r="3016" spans="1:1" x14ac:dyDescent="0.2">
      <c r="A3016" s="366"/>
    </row>
    <row r="3017" spans="1:1" x14ac:dyDescent="0.2">
      <c r="A3017" s="366"/>
    </row>
    <row r="3018" spans="1:1" x14ac:dyDescent="0.2">
      <c r="A3018" s="366"/>
    </row>
    <row r="3019" spans="1:1" x14ac:dyDescent="0.2">
      <c r="A3019" s="366"/>
    </row>
    <row r="3020" spans="1:1" x14ac:dyDescent="0.2">
      <c r="A3020" s="366"/>
    </row>
    <row r="3021" spans="1:1" x14ac:dyDescent="0.2">
      <c r="A3021" s="366"/>
    </row>
    <row r="3022" spans="1:1" x14ac:dyDescent="0.2">
      <c r="A3022" s="366"/>
    </row>
    <row r="3023" spans="1:1" x14ac:dyDescent="0.2">
      <c r="A3023" s="366"/>
    </row>
    <row r="3024" spans="1:1" x14ac:dyDescent="0.2">
      <c r="A3024" s="366"/>
    </row>
    <row r="3025" spans="1:1" x14ac:dyDescent="0.2">
      <c r="A3025" s="366"/>
    </row>
    <row r="3026" spans="1:1" x14ac:dyDescent="0.2">
      <c r="A3026" s="366"/>
    </row>
    <row r="3027" spans="1:1" x14ac:dyDescent="0.2">
      <c r="A3027" s="366"/>
    </row>
    <row r="3028" spans="1:1" x14ac:dyDescent="0.2">
      <c r="A3028" s="366"/>
    </row>
    <row r="3029" spans="1:1" x14ac:dyDescent="0.2">
      <c r="A3029" s="366"/>
    </row>
    <row r="3030" spans="1:1" x14ac:dyDescent="0.2">
      <c r="A3030" s="366"/>
    </row>
    <row r="3031" spans="1:1" x14ac:dyDescent="0.2">
      <c r="A3031" s="366"/>
    </row>
    <row r="3032" spans="1:1" x14ac:dyDescent="0.2">
      <c r="A3032" s="366"/>
    </row>
    <row r="3033" spans="1:1" x14ac:dyDescent="0.2">
      <c r="A3033" s="366"/>
    </row>
    <row r="3034" spans="1:1" x14ac:dyDescent="0.2">
      <c r="A3034" s="366"/>
    </row>
    <row r="3035" spans="1:1" x14ac:dyDescent="0.2">
      <c r="A3035" s="366"/>
    </row>
    <row r="3036" spans="1:1" x14ac:dyDescent="0.2">
      <c r="A3036" s="366"/>
    </row>
    <row r="3037" spans="1:1" x14ac:dyDescent="0.2">
      <c r="A3037" s="366"/>
    </row>
    <row r="3038" spans="1:1" x14ac:dyDescent="0.2">
      <c r="A3038" s="366"/>
    </row>
    <row r="3039" spans="1:1" x14ac:dyDescent="0.2">
      <c r="A3039" s="366"/>
    </row>
    <row r="3040" spans="1:1" x14ac:dyDescent="0.2">
      <c r="A3040" s="366"/>
    </row>
    <row r="3041" spans="1:1" x14ac:dyDescent="0.2">
      <c r="A3041" s="366"/>
    </row>
    <row r="3042" spans="1:1" x14ac:dyDescent="0.2">
      <c r="A3042" s="366"/>
    </row>
    <row r="3043" spans="1:1" x14ac:dyDescent="0.2">
      <c r="A3043" s="366"/>
    </row>
    <row r="3044" spans="1:1" x14ac:dyDescent="0.2">
      <c r="A3044" s="366"/>
    </row>
    <row r="3045" spans="1:1" x14ac:dyDescent="0.2">
      <c r="A3045" s="366"/>
    </row>
    <row r="3046" spans="1:1" x14ac:dyDescent="0.2">
      <c r="A3046" s="366"/>
    </row>
    <row r="3047" spans="1:1" x14ac:dyDescent="0.2">
      <c r="A3047" s="366"/>
    </row>
    <row r="3048" spans="1:1" x14ac:dyDescent="0.2">
      <c r="A3048" s="366"/>
    </row>
    <row r="3049" spans="1:1" x14ac:dyDescent="0.2">
      <c r="A3049" s="366"/>
    </row>
    <row r="3050" spans="1:1" x14ac:dyDescent="0.2">
      <c r="A3050" s="366"/>
    </row>
    <row r="3051" spans="1:1" x14ac:dyDescent="0.2">
      <c r="A3051" s="366"/>
    </row>
    <row r="3052" spans="1:1" x14ac:dyDescent="0.2">
      <c r="A3052" s="366"/>
    </row>
    <row r="3053" spans="1:1" x14ac:dyDescent="0.2">
      <c r="A3053" s="366"/>
    </row>
    <row r="3054" spans="1:1" x14ac:dyDescent="0.2">
      <c r="A3054" s="366"/>
    </row>
    <row r="3055" spans="1:1" x14ac:dyDescent="0.2">
      <c r="A3055" s="366"/>
    </row>
    <row r="3056" spans="1:1" x14ac:dyDescent="0.2">
      <c r="A3056" s="366"/>
    </row>
    <row r="3057" spans="1:1" x14ac:dyDescent="0.2">
      <c r="A3057" s="366"/>
    </row>
    <row r="3058" spans="1:1" x14ac:dyDescent="0.2">
      <c r="A3058" s="366"/>
    </row>
    <row r="3059" spans="1:1" x14ac:dyDescent="0.2">
      <c r="A3059" s="366"/>
    </row>
    <row r="3060" spans="1:1" x14ac:dyDescent="0.2">
      <c r="A3060" s="366"/>
    </row>
    <row r="3061" spans="1:1" x14ac:dyDescent="0.2">
      <c r="A3061" s="366"/>
    </row>
    <row r="3062" spans="1:1" x14ac:dyDescent="0.2">
      <c r="A3062" s="366"/>
    </row>
    <row r="3063" spans="1:1" x14ac:dyDescent="0.2">
      <c r="A3063" s="366"/>
    </row>
    <row r="3064" spans="1:1" x14ac:dyDescent="0.2">
      <c r="A3064" s="366"/>
    </row>
    <row r="3065" spans="1:1" x14ac:dyDescent="0.2">
      <c r="A3065" s="366"/>
    </row>
    <row r="3066" spans="1:1" x14ac:dyDescent="0.2">
      <c r="A3066" s="366"/>
    </row>
    <row r="3067" spans="1:1" x14ac:dyDescent="0.2">
      <c r="A3067" s="366"/>
    </row>
    <row r="3068" spans="1:1" x14ac:dyDescent="0.2">
      <c r="A3068" s="366"/>
    </row>
    <row r="3069" spans="1:1" x14ac:dyDescent="0.2">
      <c r="A3069" s="366"/>
    </row>
    <row r="3070" spans="1:1" x14ac:dyDescent="0.2">
      <c r="A3070" s="366"/>
    </row>
    <row r="3071" spans="1:1" x14ac:dyDescent="0.2">
      <c r="A3071" s="366"/>
    </row>
    <row r="3072" spans="1:1" x14ac:dyDescent="0.2">
      <c r="A3072" s="366"/>
    </row>
    <row r="3073" spans="1:1" x14ac:dyDescent="0.2">
      <c r="A3073" s="366"/>
    </row>
    <row r="3074" spans="1:1" x14ac:dyDescent="0.2">
      <c r="A3074" s="366"/>
    </row>
    <row r="3075" spans="1:1" x14ac:dyDescent="0.2">
      <c r="A3075" s="366"/>
    </row>
    <row r="3076" spans="1:1" x14ac:dyDescent="0.2">
      <c r="A3076" s="366"/>
    </row>
    <row r="3077" spans="1:1" x14ac:dyDescent="0.2">
      <c r="A3077" s="366"/>
    </row>
    <row r="3078" spans="1:1" x14ac:dyDescent="0.2">
      <c r="A3078" s="366"/>
    </row>
    <row r="3079" spans="1:1" x14ac:dyDescent="0.2">
      <c r="A3079" s="366"/>
    </row>
    <row r="3080" spans="1:1" x14ac:dyDescent="0.2">
      <c r="A3080" s="366"/>
    </row>
    <row r="3081" spans="1:1" x14ac:dyDescent="0.2">
      <c r="A3081" s="366"/>
    </row>
    <row r="3082" spans="1:1" x14ac:dyDescent="0.2">
      <c r="A3082" s="366"/>
    </row>
    <row r="3083" spans="1:1" x14ac:dyDescent="0.2">
      <c r="A3083" s="366"/>
    </row>
    <row r="3084" spans="1:1" x14ac:dyDescent="0.2">
      <c r="A3084" s="366"/>
    </row>
    <row r="3085" spans="1:1" x14ac:dyDescent="0.2">
      <c r="A3085" s="366"/>
    </row>
    <row r="3086" spans="1:1" x14ac:dyDescent="0.2">
      <c r="A3086" s="366"/>
    </row>
    <row r="3087" spans="1:1" x14ac:dyDescent="0.2">
      <c r="A3087" s="366"/>
    </row>
    <row r="3088" spans="1:1" x14ac:dyDescent="0.2">
      <c r="A3088" s="366"/>
    </row>
    <row r="3089" spans="1:1" x14ac:dyDescent="0.2">
      <c r="A3089" s="366"/>
    </row>
    <row r="3090" spans="1:1" x14ac:dyDescent="0.2">
      <c r="A3090" s="366"/>
    </row>
    <row r="3091" spans="1:1" x14ac:dyDescent="0.2">
      <c r="A3091" s="366"/>
    </row>
    <row r="3092" spans="1:1" x14ac:dyDescent="0.2">
      <c r="A3092" s="366"/>
    </row>
    <row r="3093" spans="1:1" x14ac:dyDescent="0.2">
      <c r="A3093" s="366"/>
    </row>
    <row r="3094" spans="1:1" x14ac:dyDescent="0.2">
      <c r="A3094" s="366"/>
    </row>
    <row r="3095" spans="1:1" x14ac:dyDescent="0.2">
      <c r="A3095" s="366"/>
    </row>
    <row r="3096" spans="1:1" x14ac:dyDescent="0.2">
      <c r="A3096" s="366"/>
    </row>
    <row r="3097" spans="1:1" x14ac:dyDescent="0.2">
      <c r="A3097" s="366"/>
    </row>
    <row r="3098" spans="1:1" x14ac:dyDescent="0.2">
      <c r="A3098" s="366"/>
    </row>
    <row r="3099" spans="1:1" x14ac:dyDescent="0.2">
      <c r="A3099" s="366"/>
    </row>
    <row r="3100" spans="1:1" x14ac:dyDescent="0.2">
      <c r="A3100" s="366"/>
    </row>
    <row r="3101" spans="1:1" x14ac:dyDescent="0.2">
      <c r="A3101" s="366"/>
    </row>
    <row r="3102" spans="1:1" x14ac:dyDescent="0.2">
      <c r="A3102" s="366"/>
    </row>
    <row r="3103" spans="1:1" x14ac:dyDescent="0.2">
      <c r="A3103" s="366"/>
    </row>
    <row r="3104" spans="1:1" x14ac:dyDescent="0.2">
      <c r="A3104" s="366"/>
    </row>
    <row r="3105" spans="1:1" x14ac:dyDescent="0.2">
      <c r="A3105" s="366"/>
    </row>
    <row r="3106" spans="1:1" x14ac:dyDescent="0.2">
      <c r="A3106" s="366"/>
    </row>
    <row r="3107" spans="1:1" x14ac:dyDescent="0.2">
      <c r="A3107" s="366"/>
    </row>
    <row r="3108" spans="1:1" x14ac:dyDescent="0.2">
      <c r="A3108" s="366"/>
    </row>
    <row r="3109" spans="1:1" x14ac:dyDescent="0.2">
      <c r="A3109" s="366"/>
    </row>
    <row r="3110" spans="1:1" x14ac:dyDescent="0.2">
      <c r="A3110" s="366"/>
    </row>
    <row r="3111" spans="1:1" x14ac:dyDescent="0.2">
      <c r="A3111" s="366"/>
    </row>
    <row r="3112" spans="1:1" x14ac:dyDescent="0.2">
      <c r="A3112" s="366"/>
    </row>
    <row r="3113" spans="1:1" x14ac:dyDescent="0.2">
      <c r="A3113" s="366"/>
    </row>
    <row r="3114" spans="1:1" x14ac:dyDescent="0.2">
      <c r="A3114" s="366"/>
    </row>
    <row r="3115" spans="1:1" x14ac:dyDescent="0.2">
      <c r="A3115" s="366"/>
    </row>
    <row r="3116" spans="1:1" x14ac:dyDescent="0.2">
      <c r="A3116" s="366"/>
    </row>
    <row r="3117" spans="1:1" x14ac:dyDescent="0.2">
      <c r="A3117" s="366"/>
    </row>
    <row r="3118" spans="1:1" x14ac:dyDescent="0.2">
      <c r="A3118" s="366"/>
    </row>
    <row r="3119" spans="1:1" x14ac:dyDescent="0.2">
      <c r="A3119" s="366"/>
    </row>
    <row r="3120" spans="1:1" x14ac:dyDescent="0.2">
      <c r="A3120" s="366"/>
    </row>
    <row r="3121" spans="1:1" x14ac:dyDescent="0.2">
      <c r="A3121" s="366"/>
    </row>
    <row r="3122" spans="1:1" x14ac:dyDescent="0.2">
      <c r="A3122" s="366"/>
    </row>
    <row r="3123" spans="1:1" x14ac:dyDescent="0.2">
      <c r="A3123" s="366"/>
    </row>
    <row r="3124" spans="1:1" x14ac:dyDescent="0.2">
      <c r="A3124" s="366"/>
    </row>
    <row r="3125" spans="1:1" x14ac:dyDescent="0.2">
      <c r="A3125" s="366"/>
    </row>
    <row r="3126" spans="1:1" x14ac:dyDescent="0.2">
      <c r="A3126" s="366"/>
    </row>
    <row r="3127" spans="1:1" x14ac:dyDescent="0.2">
      <c r="A3127" s="366"/>
    </row>
    <row r="3128" spans="1:1" x14ac:dyDescent="0.2">
      <c r="A3128" s="366"/>
    </row>
    <row r="3129" spans="1:1" x14ac:dyDescent="0.2">
      <c r="A3129" s="366"/>
    </row>
    <row r="3130" spans="1:1" x14ac:dyDescent="0.2">
      <c r="A3130" s="366"/>
    </row>
    <row r="3131" spans="1:1" x14ac:dyDescent="0.2">
      <c r="A3131" s="366"/>
    </row>
    <row r="3132" spans="1:1" x14ac:dyDescent="0.2">
      <c r="A3132" s="366"/>
    </row>
    <row r="3133" spans="1:1" x14ac:dyDescent="0.2">
      <c r="A3133" s="366"/>
    </row>
    <row r="3134" spans="1:1" x14ac:dyDescent="0.2">
      <c r="A3134" s="366"/>
    </row>
    <row r="3135" spans="1:1" x14ac:dyDescent="0.2">
      <c r="A3135" s="366"/>
    </row>
    <row r="3136" spans="1:1" x14ac:dyDescent="0.2">
      <c r="A3136" s="366"/>
    </row>
    <row r="3137" spans="1:1" x14ac:dyDescent="0.2">
      <c r="A3137" s="366"/>
    </row>
    <row r="3138" spans="1:1" x14ac:dyDescent="0.2">
      <c r="A3138" s="366"/>
    </row>
    <row r="3139" spans="1:1" x14ac:dyDescent="0.2">
      <c r="A3139" s="366"/>
    </row>
    <row r="3140" spans="1:1" x14ac:dyDescent="0.2">
      <c r="A3140" s="366"/>
    </row>
    <row r="3141" spans="1:1" x14ac:dyDescent="0.2">
      <c r="A3141" s="366"/>
    </row>
    <row r="3142" spans="1:1" x14ac:dyDescent="0.2">
      <c r="A3142" s="366"/>
    </row>
    <row r="3143" spans="1:1" x14ac:dyDescent="0.2">
      <c r="A3143" s="366"/>
    </row>
    <row r="3144" spans="1:1" x14ac:dyDescent="0.2">
      <c r="A3144" s="366"/>
    </row>
    <row r="3145" spans="1:1" x14ac:dyDescent="0.2">
      <c r="A3145" s="366"/>
    </row>
    <row r="3146" spans="1:1" x14ac:dyDescent="0.2">
      <c r="A3146" s="366"/>
    </row>
    <row r="3147" spans="1:1" x14ac:dyDescent="0.2">
      <c r="A3147" s="366"/>
    </row>
    <row r="3148" spans="1:1" x14ac:dyDescent="0.2">
      <c r="A3148" s="366"/>
    </row>
    <row r="3149" spans="1:1" x14ac:dyDescent="0.2">
      <c r="A3149" s="366"/>
    </row>
    <row r="3150" spans="1:1" x14ac:dyDescent="0.2">
      <c r="A3150" s="366"/>
    </row>
    <row r="3151" spans="1:1" x14ac:dyDescent="0.2">
      <c r="A3151" s="366"/>
    </row>
    <row r="3152" spans="1:1" x14ac:dyDescent="0.2">
      <c r="A3152" s="366"/>
    </row>
    <row r="3153" spans="1:1" x14ac:dyDescent="0.2">
      <c r="A3153" s="366"/>
    </row>
    <row r="3154" spans="1:1" x14ac:dyDescent="0.2">
      <c r="A3154" s="366"/>
    </row>
    <row r="3155" spans="1:1" x14ac:dyDescent="0.2">
      <c r="A3155" s="366"/>
    </row>
    <row r="3156" spans="1:1" x14ac:dyDescent="0.2">
      <c r="A3156" s="366"/>
    </row>
    <row r="3157" spans="1:1" x14ac:dyDescent="0.2">
      <c r="A3157" s="366"/>
    </row>
    <row r="3158" spans="1:1" x14ac:dyDescent="0.2">
      <c r="A3158" s="366"/>
    </row>
    <row r="3159" spans="1:1" x14ac:dyDescent="0.2">
      <c r="A3159" s="366"/>
    </row>
    <row r="3160" spans="1:1" x14ac:dyDescent="0.2">
      <c r="A3160" s="366"/>
    </row>
    <row r="3161" spans="1:1" x14ac:dyDescent="0.2">
      <c r="A3161" s="366"/>
    </row>
    <row r="3162" spans="1:1" x14ac:dyDescent="0.2">
      <c r="A3162" s="366"/>
    </row>
    <row r="3163" spans="1:1" x14ac:dyDescent="0.2">
      <c r="A3163" s="366"/>
    </row>
    <row r="3164" spans="1:1" x14ac:dyDescent="0.2">
      <c r="A3164" s="366"/>
    </row>
    <row r="3165" spans="1:1" x14ac:dyDescent="0.2">
      <c r="A3165" s="366"/>
    </row>
    <row r="3166" spans="1:1" x14ac:dyDescent="0.2">
      <c r="A3166" s="366"/>
    </row>
    <row r="3167" spans="1:1" x14ac:dyDescent="0.2">
      <c r="A3167" s="366"/>
    </row>
    <row r="3168" spans="1:1" x14ac:dyDescent="0.2">
      <c r="A3168" s="366"/>
    </row>
    <row r="3169" spans="1:1" x14ac:dyDescent="0.2">
      <c r="A3169" s="366"/>
    </row>
    <row r="3170" spans="1:1" x14ac:dyDescent="0.2">
      <c r="A3170" s="366"/>
    </row>
    <row r="3171" spans="1:1" x14ac:dyDescent="0.2">
      <c r="A3171" s="366"/>
    </row>
    <row r="3172" spans="1:1" x14ac:dyDescent="0.2">
      <c r="A3172" s="366"/>
    </row>
    <row r="3173" spans="1:1" x14ac:dyDescent="0.2">
      <c r="A3173" s="366"/>
    </row>
    <row r="3174" spans="1:1" x14ac:dyDescent="0.2">
      <c r="A3174" s="366"/>
    </row>
    <row r="3175" spans="1:1" x14ac:dyDescent="0.2">
      <c r="A3175" s="366"/>
    </row>
    <row r="3176" spans="1:1" x14ac:dyDescent="0.2">
      <c r="A3176" s="366"/>
    </row>
    <row r="3177" spans="1:1" x14ac:dyDescent="0.2">
      <c r="A3177" s="366"/>
    </row>
    <row r="3178" spans="1:1" x14ac:dyDescent="0.2">
      <c r="A3178" s="366"/>
    </row>
    <row r="3179" spans="1:1" x14ac:dyDescent="0.2">
      <c r="A3179" s="366"/>
    </row>
    <row r="3180" spans="1:1" x14ac:dyDescent="0.2">
      <c r="A3180" s="366"/>
    </row>
    <row r="3181" spans="1:1" x14ac:dyDescent="0.2">
      <c r="A3181" s="366"/>
    </row>
    <row r="3182" spans="1:1" x14ac:dyDescent="0.2">
      <c r="A3182" s="366"/>
    </row>
    <row r="3183" spans="1:1" x14ac:dyDescent="0.2">
      <c r="A3183" s="366"/>
    </row>
    <row r="3184" spans="1:1" x14ac:dyDescent="0.2">
      <c r="A3184" s="366"/>
    </row>
    <row r="3185" spans="1:1" x14ac:dyDescent="0.2">
      <c r="A3185" s="366"/>
    </row>
    <row r="3186" spans="1:1" x14ac:dyDescent="0.2">
      <c r="A3186" s="366"/>
    </row>
    <row r="3187" spans="1:1" x14ac:dyDescent="0.2">
      <c r="A3187" s="366"/>
    </row>
    <row r="3188" spans="1:1" x14ac:dyDescent="0.2">
      <c r="A3188" s="366"/>
    </row>
    <row r="3189" spans="1:1" x14ac:dyDescent="0.2">
      <c r="A3189" s="366"/>
    </row>
    <row r="3190" spans="1:1" x14ac:dyDescent="0.2">
      <c r="A3190" s="366"/>
    </row>
    <row r="3191" spans="1:1" x14ac:dyDescent="0.2">
      <c r="A3191" s="366"/>
    </row>
    <row r="3192" spans="1:1" x14ac:dyDescent="0.2">
      <c r="A3192" s="366"/>
    </row>
    <row r="3193" spans="1:1" x14ac:dyDescent="0.2">
      <c r="A3193" s="366"/>
    </row>
    <row r="3194" spans="1:1" x14ac:dyDescent="0.2">
      <c r="A3194" s="366"/>
    </row>
    <row r="3195" spans="1:1" x14ac:dyDescent="0.2">
      <c r="A3195" s="366"/>
    </row>
    <row r="3196" spans="1:1" x14ac:dyDescent="0.2">
      <c r="A3196" s="366"/>
    </row>
    <row r="3197" spans="1:1" x14ac:dyDescent="0.2">
      <c r="A3197" s="366"/>
    </row>
    <row r="3198" spans="1:1" x14ac:dyDescent="0.2">
      <c r="A3198" s="366"/>
    </row>
    <row r="3199" spans="1:1" x14ac:dyDescent="0.2">
      <c r="A3199" s="366"/>
    </row>
    <row r="3200" spans="1:1" x14ac:dyDescent="0.2">
      <c r="A3200" s="366"/>
    </row>
    <row r="3201" spans="1:1" x14ac:dyDescent="0.2">
      <c r="A3201" s="366"/>
    </row>
    <row r="3202" spans="1:1" x14ac:dyDescent="0.2">
      <c r="A3202" s="366"/>
    </row>
    <row r="3203" spans="1:1" x14ac:dyDescent="0.2">
      <c r="A3203" s="366"/>
    </row>
    <row r="3204" spans="1:1" x14ac:dyDescent="0.2">
      <c r="A3204" s="366"/>
    </row>
    <row r="3205" spans="1:1" x14ac:dyDescent="0.2">
      <c r="A3205" s="366"/>
    </row>
    <row r="3206" spans="1:1" x14ac:dyDescent="0.2">
      <c r="A3206" s="366"/>
    </row>
    <row r="3207" spans="1:1" x14ac:dyDescent="0.2">
      <c r="A3207" s="366"/>
    </row>
    <row r="3208" spans="1:1" x14ac:dyDescent="0.2">
      <c r="A3208" s="366"/>
    </row>
    <row r="3209" spans="1:1" x14ac:dyDescent="0.2">
      <c r="A3209" s="366"/>
    </row>
    <row r="3210" spans="1:1" x14ac:dyDescent="0.2">
      <c r="A3210" s="366"/>
    </row>
    <row r="3211" spans="1:1" x14ac:dyDescent="0.2">
      <c r="A3211" s="366"/>
    </row>
    <row r="3212" spans="1:1" x14ac:dyDescent="0.2">
      <c r="A3212" s="366"/>
    </row>
    <row r="3213" spans="1:1" x14ac:dyDescent="0.2">
      <c r="A3213" s="366"/>
    </row>
    <row r="3214" spans="1:1" x14ac:dyDescent="0.2">
      <c r="A3214" s="366"/>
    </row>
    <row r="3215" spans="1:1" x14ac:dyDescent="0.2">
      <c r="A3215" s="366"/>
    </row>
    <row r="3216" spans="1:1" x14ac:dyDescent="0.2">
      <c r="A3216" s="366"/>
    </row>
    <row r="3217" spans="1:1" x14ac:dyDescent="0.2">
      <c r="A3217" s="366"/>
    </row>
    <row r="3218" spans="1:1" x14ac:dyDescent="0.2">
      <c r="A3218" s="366"/>
    </row>
    <row r="3219" spans="1:1" x14ac:dyDescent="0.2">
      <c r="A3219" s="366"/>
    </row>
    <row r="3220" spans="1:1" x14ac:dyDescent="0.2">
      <c r="A3220" s="366"/>
    </row>
    <row r="3221" spans="1:1" x14ac:dyDescent="0.2">
      <c r="A3221" s="366"/>
    </row>
    <row r="3222" spans="1:1" x14ac:dyDescent="0.2">
      <c r="A3222" s="366"/>
    </row>
    <row r="3223" spans="1:1" x14ac:dyDescent="0.2">
      <c r="A3223" s="366"/>
    </row>
    <row r="3224" spans="1:1" x14ac:dyDescent="0.2">
      <c r="A3224" s="366"/>
    </row>
    <row r="3225" spans="1:1" x14ac:dyDescent="0.2">
      <c r="A3225" s="366"/>
    </row>
    <row r="3226" spans="1:1" x14ac:dyDescent="0.2">
      <c r="A3226" s="366"/>
    </row>
    <row r="3227" spans="1:1" x14ac:dyDescent="0.2">
      <c r="A3227" s="366"/>
    </row>
    <row r="3228" spans="1:1" x14ac:dyDescent="0.2">
      <c r="A3228" s="366"/>
    </row>
    <row r="3229" spans="1:1" x14ac:dyDescent="0.2">
      <c r="A3229" s="366"/>
    </row>
    <row r="3230" spans="1:1" x14ac:dyDescent="0.2">
      <c r="A3230" s="366"/>
    </row>
    <row r="3231" spans="1:1" x14ac:dyDescent="0.2">
      <c r="A3231" s="366"/>
    </row>
    <row r="3232" spans="1:1" x14ac:dyDescent="0.2">
      <c r="A3232" s="366"/>
    </row>
    <row r="3233" spans="1:1" x14ac:dyDescent="0.2">
      <c r="A3233" s="366"/>
    </row>
    <row r="3234" spans="1:1" x14ac:dyDescent="0.2">
      <c r="A3234" s="366"/>
    </row>
    <row r="3235" spans="1:1" x14ac:dyDescent="0.2">
      <c r="A3235" s="366"/>
    </row>
    <row r="3236" spans="1:1" x14ac:dyDescent="0.2">
      <c r="A3236" s="366"/>
    </row>
    <row r="3237" spans="1:1" x14ac:dyDescent="0.2">
      <c r="A3237" s="366"/>
    </row>
    <row r="3238" spans="1:1" x14ac:dyDescent="0.2">
      <c r="A3238" s="366"/>
    </row>
    <row r="3239" spans="1:1" x14ac:dyDescent="0.2">
      <c r="A3239" s="366"/>
    </row>
    <row r="3240" spans="1:1" x14ac:dyDescent="0.2">
      <c r="A3240" s="366"/>
    </row>
    <row r="3241" spans="1:1" x14ac:dyDescent="0.2">
      <c r="A3241" s="366"/>
    </row>
    <row r="3242" spans="1:1" x14ac:dyDescent="0.2">
      <c r="A3242" s="366"/>
    </row>
    <row r="3243" spans="1:1" x14ac:dyDescent="0.2">
      <c r="A3243" s="366"/>
    </row>
    <row r="3244" spans="1:1" x14ac:dyDescent="0.2">
      <c r="A3244" s="366"/>
    </row>
    <row r="3245" spans="1:1" x14ac:dyDescent="0.2">
      <c r="A3245" s="366"/>
    </row>
    <row r="3246" spans="1:1" x14ac:dyDescent="0.2">
      <c r="A3246" s="366"/>
    </row>
    <row r="3247" spans="1:1" x14ac:dyDescent="0.2">
      <c r="A3247" s="366"/>
    </row>
    <row r="3248" spans="1:1" x14ac:dyDescent="0.2">
      <c r="A3248" s="366"/>
    </row>
    <row r="3249" spans="1:1" x14ac:dyDescent="0.2">
      <c r="A3249" s="366"/>
    </row>
    <row r="3250" spans="1:1" x14ac:dyDescent="0.2">
      <c r="A3250" s="366"/>
    </row>
    <row r="3251" spans="1:1" x14ac:dyDescent="0.2">
      <c r="A3251" s="366"/>
    </row>
    <row r="3252" spans="1:1" x14ac:dyDescent="0.2">
      <c r="A3252" s="366"/>
    </row>
    <row r="3253" spans="1:1" x14ac:dyDescent="0.2">
      <c r="A3253" s="366"/>
    </row>
    <row r="3254" spans="1:1" x14ac:dyDescent="0.2">
      <c r="A3254" s="366"/>
    </row>
    <row r="3255" spans="1:1" x14ac:dyDescent="0.2">
      <c r="A3255" s="366"/>
    </row>
    <row r="3256" spans="1:1" x14ac:dyDescent="0.2">
      <c r="A3256" s="366"/>
    </row>
    <row r="3257" spans="1:1" x14ac:dyDescent="0.2">
      <c r="A3257" s="366"/>
    </row>
    <row r="3258" spans="1:1" x14ac:dyDescent="0.2">
      <c r="A3258" s="366"/>
    </row>
    <row r="3259" spans="1:1" x14ac:dyDescent="0.2">
      <c r="A3259" s="366"/>
    </row>
    <row r="3260" spans="1:1" x14ac:dyDescent="0.2">
      <c r="A3260" s="366"/>
    </row>
    <row r="3261" spans="1:1" x14ac:dyDescent="0.2">
      <c r="A3261" s="366"/>
    </row>
    <row r="3262" spans="1:1" x14ac:dyDescent="0.2">
      <c r="A3262" s="366"/>
    </row>
    <row r="3263" spans="1:1" x14ac:dyDescent="0.2">
      <c r="A3263" s="366"/>
    </row>
    <row r="3264" spans="1:1" x14ac:dyDescent="0.2">
      <c r="A3264" s="366"/>
    </row>
    <row r="3265" spans="1:1" x14ac:dyDescent="0.2">
      <c r="A3265" s="366"/>
    </row>
    <row r="3266" spans="1:1" x14ac:dyDescent="0.2">
      <c r="A3266" s="366"/>
    </row>
    <row r="3267" spans="1:1" x14ac:dyDescent="0.2">
      <c r="A3267" s="366"/>
    </row>
    <row r="3268" spans="1:1" x14ac:dyDescent="0.2">
      <c r="A3268" s="366"/>
    </row>
    <row r="3269" spans="1:1" x14ac:dyDescent="0.2">
      <c r="A3269" s="366"/>
    </row>
    <row r="3270" spans="1:1" x14ac:dyDescent="0.2">
      <c r="A3270" s="366"/>
    </row>
    <row r="3271" spans="1:1" x14ac:dyDescent="0.2">
      <c r="A3271" s="366"/>
    </row>
    <row r="3272" spans="1:1" x14ac:dyDescent="0.2">
      <c r="A3272" s="366"/>
    </row>
    <row r="3273" spans="1:1" x14ac:dyDescent="0.2">
      <c r="A3273" s="366"/>
    </row>
    <row r="3274" spans="1:1" x14ac:dyDescent="0.2">
      <c r="A3274" s="366"/>
    </row>
    <row r="3275" spans="1:1" x14ac:dyDescent="0.2">
      <c r="A3275" s="366"/>
    </row>
    <row r="3276" spans="1:1" x14ac:dyDescent="0.2">
      <c r="A3276" s="366"/>
    </row>
    <row r="3277" spans="1:1" x14ac:dyDescent="0.2">
      <c r="A3277" s="366"/>
    </row>
    <row r="3278" spans="1:1" x14ac:dyDescent="0.2">
      <c r="A3278" s="366"/>
    </row>
    <row r="3279" spans="1:1" x14ac:dyDescent="0.2">
      <c r="A3279" s="366"/>
    </row>
    <row r="3280" spans="1:1" x14ac:dyDescent="0.2">
      <c r="A3280" s="366"/>
    </row>
    <row r="3281" spans="1:1" x14ac:dyDescent="0.2">
      <c r="A3281" s="366"/>
    </row>
    <row r="3282" spans="1:1" x14ac:dyDescent="0.2">
      <c r="A3282" s="366"/>
    </row>
    <row r="3283" spans="1:1" x14ac:dyDescent="0.2">
      <c r="A3283" s="366"/>
    </row>
    <row r="3284" spans="1:1" x14ac:dyDescent="0.2">
      <c r="A3284" s="366"/>
    </row>
    <row r="3285" spans="1:1" x14ac:dyDescent="0.2">
      <c r="A3285" s="366"/>
    </row>
    <row r="3286" spans="1:1" x14ac:dyDescent="0.2">
      <c r="A3286" s="366"/>
    </row>
    <row r="3287" spans="1:1" x14ac:dyDescent="0.2">
      <c r="A3287" s="366"/>
    </row>
    <row r="3288" spans="1:1" x14ac:dyDescent="0.2">
      <c r="A3288" s="366"/>
    </row>
    <row r="3289" spans="1:1" x14ac:dyDescent="0.2">
      <c r="A3289" s="366"/>
    </row>
    <row r="3290" spans="1:1" x14ac:dyDescent="0.2">
      <c r="A3290" s="366"/>
    </row>
    <row r="3291" spans="1:1" x14ac:dyDescent="0.2">
      <c r="A3291" s="366"/>
    </row>
    <row r="3292" spans="1:1" x14ac:dyDescent="0.2">
      <c r="A3292" s="366"/>
    </row>
    <row r="3293" spans="1:1" x14ac:dyDescent="0.2">
      <c r="A3293" s="366"/>
    </row>
    <row r="3294" spans="1:1" x14ac:dyDescent="0.2">
      <c r="A3294" s="366"/>
    </row>
    <row r="3295" spans="1:1" x14ac:dyDescent="0.2">
      <c r="A3295" s="366"/>
    </row>
    <row r="3296" spans="1:1" x14ac:dyDescent="0.2">
      <c r="A3296" s="366"/>
    </row>
    <row r="3297" spans="1:1" x14ac:dyDescent="0.2">
      <c r="A3297" s="366"/>
    </row>
    <row r="3298" spans="1:1" x14ac:dyDescent="0.2">
      <c r="A3298" s="366"/>
    </row>
    <row r="3299" spans="1:1" x14ac:dyDescent="0.2">
      <c r="A3299" s="366"/>
    </row>
    <row r="3300" spans="1:1" x14ac:dyDescent="0.2">
      <c r="A3300" s="366"/>
    </row>
    <row r="3301" spans="1:1" x14ac:dyDescent="0.2">
      <c r="A3301" s="366"/>
    </row>
    <row r="3302" spans="1:1" x14ac:dyDescent="0.2">
      <c r="A3302" s="366"/>
    </row>
    <row r="3303" spans="1:1" x14ac:dyDescent="0.2">
      <c r="A3303" s="366"/>
    </row>
    <row r="3304" spans="1:1" x14ac:dyDescent="0.2">
      <c r="A3304" s="366"/>
    </row>
    <row r="3305" spans="1:1" x14ac:dyDescent="0.2">
      <c r="A3305" s="366"/>
    </row>
    <row r="3306" spans="1:1" x14ac:dyDescent="0.2">
      <c r="A3306" s="366"/>
    </row>
    <row r="3307" spans="1:1" x14ac:dyDescent="0.2">
      <c r="A3307" s="366"/>
    </row>
    <row r="3308" spans="1:1" x14ac:dyDescent="0.2">
      <c r="A3308" s="366"/>
    </row>
    <row r="3309" spans="1:1" x14ac:dyDescent="0.2">
      <c r="A3309" s="366"/>
    </row>
    <row r="3310" spans="1:1" x14ac:dyDescent="0.2">
      <c r="A3310" s="366"/>
    </row>
    <row r="3311" spans="1:1" x14ac:dyDescent="0.2">
      <c r="A3311" s="366"/>
    </row>
    <row r="3312" spans="1:1" x14ac:dyDescent="0.2">
      <c r="A3312" s="366"/>
    </row>
    <row r="3313" spans="1:1" x14ac:dyDescent="0.2">
      <c r="A3313" s="366"/>
    </row>
    <row r="3314" spans="1:1" x14ac:dyDescent="0.2">
      <c r="A3314" s="366"/>
    </row>
    <row r="3315" spans="1:1" x14ac:dyDescent="0.2">
      <c r="A3315" s="366"/>
    </row>
    <row r="3316" spans="1:1" x14ac:dyDescent="0.2">
      <c r="A3316" s="366"/>
    </row>
    <row r="3317" spans="1:1" x14ac:dyDescent="0.2">
      <c r="A3317" s="366"/>
    </row>
    <row r="3318" spans="1:1" x14ac:dyDescent="0.2">
      <c r="A3318" s="366"/>
    </row>
    <row r="3319" spans="1:1" x14ac:dyDescent="0.2">
      <c r="A3319" s="366"/>
    </row>
    <row r="3320" spans="1:1" x14ac:dyDescent="0.2">
      <c r="A3320" s="366"/>
    </row>
    <row r="3321" spans="1:1" x14ac:dyDescent="0.2">
      <c r="A3321" s="366"/>
    </row>
    <row r="3322" spans="1:1" x14ac:dyDescent="0.2">
      <c r="A3322" s="366"/>
    </row>
    <row r="3323" spans="1:1" x14ac:dyDescent="0.2">
      <c r="A3323" s="366"/>
    </row>
    <row r="3324" spans="1:1" x14ac:dyDescent="0.2">
      <c r="A3324" s="366"/>
    </row>
    <row r="3325" spans="1:1" x14ac:dyDescent="0.2">
      <c r="A3325" s="366"/>
    </row>
    <row r="3326" spans="1:1" x14ac:dyDescent="0.2">
      <c r="A3326" s="366"/>
    </row>
    <row r="3327" spans="1:1" x14ac:dyDescent="0.2">
      <c r="A3327" s="366"/>
    </row>
    <row r="3328" spans="1:1" x14ac:dyDescent="0.2">
      <c r="A3328" s="366"/>
    </row>
    <row r="3329" spans="1:1" x14ac:dyDescent="0.2">
      <c r="A3329" s="366"/>
    </row>
    <row r="3330" spans="1:1" x14ac:dyDescent="0.2">
      <c r="A3330" s="366"/>
    </row>
    <row r="3331" spans="1:1" x14ac:dyDescent="0.2">
      <c r="A3331" s="366"/>
    </row>
    <row r="3332" spans="1:1" x14ac:dyDescent="0.2">
      <c r="A3332" s="366"/>
    </row>
    <row r="3333" spans="1:1" x14ac:dyDescent="0.2">
      <c r="A3333" s="366"/>
    </row>
    <row r="3334" spans="1:1" x14ac:dyDescent="0.2">
      <c r="A3334" s="366"/>
    </row>
    <row r="3335" spans="1:1" x14ac:dyDescent="0.2">
      <c r="A3335" s="366"/>
    </row>
    <row r="3336" spans="1:1" x14ac:dyDescent="0.2">
      <c r="A3336" s="366"/>
    </row>
    <row r="3337" spans="1:1" x14ac:dyDescent="0.2">
      <c r="A3337" s="366"/>
    </row>
    <row r="3338" spans="1:1" x14ac:dyDescent="0.2">
      <c r="A3338" s="366"/>
    </row>
    <row r="3339" spans="1:1" x14ac:dyDescent="0.2">
      <c r="A3339" s="366"/>
    </row>
    <row r="3340" spans="1:1" x14ac:dyDescent="0.2">
      <c r="A3340" s="366"/>
    </row>
    <row r="3341" spans="1:1" x14ac:dyDescent="0.2">
      <c r="A3341" s="366"/>
    </row>
    <row r="3342" spans="1:1" x14ac:dyDescent="0.2">
      <c r="A3342" s="366"/>
    </row>
    <row r="3343" spans="1:1" x14ac:dyDescent="0.2">
      <c r="A3343" s="366"/>
    </row>
    <row r="3344" spans="1:1" x14ac:dyDescent="0.2">
      <c r="A3344" s="366"/>
    </row>
    <row r="3345" spans="1:1" x14ac:dyDescent="0.2">
      <c r="A3345" s="366"/>
    </row>
    <row r="3346" spans="1:1" x14ac:dyDescent="0.2">
      <c r="A3346" s="366"/>
    </row>
    <row r="3347" spans="1:1" x14ac:dyDescent="0.2">
      <c r="A3347" s="366"/>
    </row>
    <row r="3348" spans="1:1" x14ac:dyDescent="0.2">
      <c r="A3348" s="366"/>
    </row>
    <row r="3349" spans="1:1" x14ac:dyDescent="0.2">
      <c r="A3349" s="366"/>
    </row>
    <row r="3350" spans="1:1" x14ac:dyDescent="0.2">
      <c r="A3350" s="366"/>
    </row>
    <row r="3351" spans="1:1" x14ac:dyDescent="0.2">
      <c r="A3351" s="366"/>
    </row>
    <row r="3352" spans="1:1" x14ac:dyDescent="0.2">
      <c r="A3352" s="366"/>
    </row>
    <row r="3353" spans="1:1" x14ac:dyDescent="0.2">
      <c r="A3353" s="366"/>
    </row>
    <row r="3354" spans="1:1" x14ac:dyDescent="0.2">
      <c r="A3354" s="366"/>
    </row>
    <row r="3355" spans="1:1" x14ac:dyDescent="0.2">
      <c r="A3355" s="366"/>
    </row>
    <row r="3356" spans="1:1" x14ac:dyDescent="0.2">
      <c r="A3356" s="366"/>
    </row>
    <row r="3357" spans="1:1" x14ac:dyDescent="0.2">
      <c r="A3357" s="366"/>
    </row>
    <row r="3358" spans="1:1" x14ac:dyDescent="0.2">
      <c r="A3358" s="366"/>
    </row>
    <row r="3359" spans="1:1" x14ac:dyDescent="0.2">
      <c r="A3359" s="366"/>
    </row>
    <row r="3360" spans="1:1" x14ac:dyDescent="0.2">
      <c r="A3360" s="366"/>
    </row>
    <row r="3361" spans="1:1" x14ac:dyDescent="0.2">
      <c r="A3361" s="366"/>
    </row>
    <row r="3362" spans="1:1" x14ac:dyDescent="0.2">
      <c r="A3362" s="366"/>
    </row>
    <row r="3363" spans="1:1" x14ac:dyDescent="0.2">
      <c r="A3363" s="366"/>
    </row>
    <row r="3364" spans="1:1" x14ac:dyDescent="0.2">
      <c r="A3364" s="366"/>
    </row>
    <row r="3365" spans="1:1" x14ac:dyDescent="0.2">
      <c r="A3365" s="366"/>
    </row>
    <row r="3366" spans="1:1" x14ac:dyDescent="0.2">
      <c r="A3366" s="366"/>
    </row>
    <row r="3367" spans="1:1" x14ac:dyDescent="0.2">
      <c r="A3367" s="366"/>
    </row>
    <row r="3368" spans="1:1" x14ac:dyDescent="0.2">
      <c r="A3368" s="366"/>
    </row>
    <row r="3369" spans="1:1" x14ac:dyDescent="0.2">
      <c r="A3369" s="366"/>
    </row>
    <row r="3370" spans="1:1" x14ac:dyDescent="0.2">
      <c r="A3370" s="366"/>
    </row>
    <row r="3371" spans="1:1" x14ac:dyDescent="0.2">
      <c r="A3371" s="366"/>
    </row>
    <row r="3372" spans="1:1" x14ac:dyDescent="0.2">
      <c r="A3372" s="366"/>
    </row>
    <row r="3373" spans="1:1" x14ac:dyDescent="0.2">
      <c r="A3373" s="366"/>
    </row>
    <row r="3374" spans="1:1" x14ac:dyDescent="0.2">
      <c r="A3374" s="366"/>
    </row>
    <row r="3375" spans="1:1" x14ac:dyDescent="0.2">
      <c r="A3375" s="366"/>
    </row>
    <row r="3376" spans="1:1" x14ac:dyDescent="0.2">
      <c r="A3376" s="366"/>
    </row>
    <row r="3377" spans="1:1" x14ac:dyDescent="0.2">
      <c r="A3377" s="366"/>
    </row>
    <row r="3378" spans="1:1" x14ac:dyDescent="0.2">
      <c r="A3378" s="366"/>
    </row>
    <row r="3379" spans="1:1" x14ac:dyDescent="0.2">
      <c r="A3379" s="366"/>
    </row>
    <row r="3380" spans="1:1" x14ac:dyDescent="0.2">
      <c r="A3380" s="366"/>
    </row>
    <row r="3381" spans="1:1" x14ac:dyDescent="0.2">
      <c r="A3381" s="366"/>
    </row>
    <row r="3382" spans="1:1" x14ac:dyDescent="0.2">
      <c r="A3382" s="366"/>
    </row>
    <row r="3383" spans="1:1" x14ac:dyDescent="0.2">
      <c r="A3383" s="366"/>
    </row>
    <row r="3384" spans="1:1" x14ac:dyDescent="0.2">
      <c r="A3384" s="366"/>
    </row>
    <row r="3385" spans="1:1" x14ac:dyDescent="0.2">
      <c r="A3385" s="366"/>
    </row>
    <row r="3386" spans="1:1" x14ac:dyDescent="0.2">
      <c r="A3386" s="366"/>
    </row>
    <row r="3387" spans="1:1" x14ac:dyDescent="0.2">
      <c r="A3387" s="366"/>
    </row>
    <row r="3388" spans="1:1" x14ac:dyDescent="0.2">
      <c r="A3388" s="366"/>
    </row>
    <row r="3389" spans="1:1" x14ac:dyDescent="0.2">
      <c r="A3389" s="366"/>
    </row>
    <row r="3390" spans="1:1" x14ac:dyDescent="0.2">
      <c r="A3390" s="366"/>
    </row>
    <row r="3391" spans="1:1" x14ac:dyDescent="0.2">
      <c r="A3391" s="366"/>
    </row>
    <row r="3392" spans="1:1" x14ac:dyDescent="0.2">
      <c r="A3392" s="366"/>
    </row>
    <row r="3393" spans="1:1" x14ac:dyDescent="0.2">
      <c r="A3393" s="366"/>
    </row>
    <row r="3394" spans="1:1" x14ac:dyDescent="0.2">
      <c r="A3394" s="366"/>
    </row>
    <row r="3395" spans="1:1" x14ac:dyDescent="0.2">
      <c r="A3395" s="366"/>
    </row>
    <row r="3396" spans="1:1" x14ac:dyDescent="0.2">
      <c r="A3396" s="366"/>
    </row>
    <row r="3397" spans="1:1" x14ac:dyDescent="0.2">
      <c r="A3397" s="366"/>
    </row>
    <row r="3398" spans="1:1" x14ac:dyDescent="0.2">
      <c r="A3398" s="366"/>
    </row>
    <row r="3399" spans="1:1" x14ac:dyDescent="0.2">
      <c r="A3399" s="366"/>
    </row>
    <row r="3400" spans="1:1" x14ac:dyDescent="0.2">
      <c r="A3400" s="366"/>
    </row>
    <row r="3401" spans="1:1" x14ac:dyDescent="0.2">
      <c r="A3401" s="366"/>
    </row>
    <row r="3402" spans="1:1" x14ac:dyDescent="0.2">
      <c r="A3402" s="366"/>
    </row>
    <row r="3403" spans="1:1" x14ac:dyDescent="0.2">
      <c r="A3403" s="366"/>
    </row>
    <row r="3404" spans="1:1" x14ac:dyDescent="0.2">
      <c r="A3404" s="366"/>
    </row>
    <row r="3405" spans="1:1" x14ac:dyDescent="0.2">
      <c r="A3405" s="366"/>
    </row>
    <row r="3406" spans="1:1" x14ac:dyDescent="0.2">
      <c r="A3406" s="366"/>
    </row>
    <row r="3407" spans="1:1" x14ac:dyDescent="0.2">
      <c r="A3407" s="366"/>
    </row>
    <row r="3408" spans="1:1" x14ac:dyDescent="0.2">
      <c r="A3408" s="366"/>
    </row>
    <row r="3409" spans="1:1" x14ac:dyDescent="0.2">
      <c r="A3409" s="366"/>
    </row>
    <row r="3410" spans="1:1" x14ac:dyDescent="0.2">
      <c r="A3410" s="366"/>
    </row>
    <row r="3411" spans="1:1" x14ac:dyDescent="0.2">
      <c r="A3411" s="366"/>
    </row>
    <row r="3412" spans="1:1" x14ac:dyDescent="0.2">
      <c r="A3412" s="366"/>
    </row>
    <row r="3413" spans="1:1" x14ac:dyDescent="0.2">
      <c r="A3413" s="366"/>
    </row>
    <row r="3414" spans="1:1" x14ac:dyDescent="0.2">
      <c r="A3414" s="366"/>
    </row>
    <row r="3415" spans="1:1" x14ac:dyDescent="0.2">
      <c r="A3415" s="366"/>
    </row>
    <row r="3416" spans="1:1" x14ac:dyDescent="0.2">
      <c r="A3416" s="366"/>
    </row>
    <row r="3417" spans="1:1" x14ac:dyDescent="0.2">
      <c r="A3417" s="366"/>
    </row>
    <row r="3418" spans="1:1" x14ac:dyDescent="0.2">
      <c r="A3418" s="366"/>
    </row>
    <row r="3419" spans="1:1" x14ac:dyDescent="0.2">
      <c r="A3419" s="366"/>
    </row>
    <row r="3420" spans="1:1" x14ac:dyDescent="0.2">
      <c r="A3420" s="366"/>
    </row>
    <row r="3421" spans="1:1" x14ac:dyDescent="0.2">
      <c r="A3421" s="366"/>
    </row>
    <row r="3422" spans="1:1" x14ac:dyDescent="0.2">
      <c r="A3422" s="366"/>
    </row>
    <row r="3423" spans="1:1" x14ac:dyDescent="0.2">
      <c r="A3423" s="366"/>
    </row>
    <row r="3424" spans="1:1" x14ac:dyDescent="0.2">
      <c r="A3424" s="366"/>
    </row>
    <row r="3425" spans="1:1" x14ac:dyDescent="0.2">
      <c r="A3425" s="366"/>
    </row>
    <row r="3426" spans="1:1" x14ac:dyDescent="0.2">
      <c r="A3426" s="366"/>
    </row>
    <row r="3427" spans="1:1" x14ac:dyDescent="0.2">
      <c r="A3427" s="366"/>
    </row>
    <row r="3428" spans="1:1" x14ac:dyDescent="0.2">
      <c r="A3428" s="366"/>
    </row>
    <row r="3429" spans="1:1" x14ac:dyDescent="0.2">
      <c r="A3429" s="366"/>
    </row>
    <row r="3430" spans="1:1" x14ac:dyDescent="0.2">
      <c r="A3430" s="366"/>
    </row>
    <row r="3431" spans="1:1" x14ac:dyDescent="0.2">
      <c r="A3431" s="366"/>
    </row>
    <row r="3432" spans="1:1" x14ac:dyDescent="0.2">
      <c r="A3432" s="366"/>
    </row>
    <row r="3433" spans="1:1" x14ac:dyDescent="0.2">
      <c r="A3433" s="366"/>
    </row>
    <row r="3434" spans="1:1" x14ac:dyDescent="0.2">
      <c r="A3434" s="366"/>
    </row>
    <row r="3435" spans="1:1" x14ac:dyDescent="0.2">
      <c r="A3435" s="366"/>
    </row>
    <row r="3436" spans="1:1" x14ac:dyDescent="0.2">
      <c r="A3436" s="366"/>
    </row>
    <row r="3437" spans="1:1" x14ac:dyDescent="0.2">
      <c r="A3437" s="366"/>
    </row>
    <row r="3438" spans="1:1" x14ac:dyDescent="0.2">
      <c r="A3438" s="366"/>
    </row>
    <row r="3439" spans="1:1" x14ac:dyDescent="0.2">
      <c r="A3439" s="366"/>
    </row>
    <row r="3440" spans="1:1" x14ac:dyDescent="0.2">
      <c r="A3440" s="366"/>
    </row>
    <row r="3441" spans="1:1" x14ac:dyDescent="0.2">
      <c r="A3441" s="366"/>
    </row>
    <row r="3442" spans="1:1" x14ac:dyDescent="0.2">
      <c r="A3442" s="366"/>
    </row>
    <row r="3443" spans="1:1" x14ac:dyDescent="0.2">
      <c r="A3443" s="366"/>
    </row>
    <row r="3444" spans="1:1" x14ac:dyDescent="0.2">
      <c r="A3444" s="366"/>
    </row>
    <row r="3445" spans="1:1" x14ac:dyDescent="0.2">
      <c r="A3445" s="366"/>
    </row>
    <row r="3446" spans="1:1" x14ac:dyDescent="0.2">
      <c r="A3446" s="366"/>
    </row>
    <row r="3447" spans="1:1" x14ac:dyDescent="0.2">
      <c r="A3447" s="366"/>
    </row>
    <row r="3448" spans="1:1" x14ac:dyDescent="0.2">
      <c r="A3448" s="366"/>
    </row>
    <row r="3449" spans="1:1" x14ac:dyDescent="0.2">
      <c r="A3449" s="366"/>
    </row>
    <row r="3450" spans="1:1" x14ac:dyDescent="0.2">
      <c r="A3450" s="366"/>
    </row>
    <row r="3451" spans="1:1" x14ac:dyDescent="0.2">
      <c r="A3451" s="366"/>
    </row>
    <row r="3452" spans="1:1" x14ac:dyDescent="0.2">
      <c r="A3452" s="366"/>
    </row>
    <row r="3453" spans="1:1" x14ac:dyDescent="0.2">
      <c r="A3453" s="366"/>
    </row>
    <row r="3454" spans="1:1" x14ac:dyDescent="0.2">
      <c r="A3454" s="366"/>
    </row>
    <row r="3455" spans="1:1" x14ac:dyDescent="0.2">
      <c r="A3455" s="366"/>
    </row>
    <row r="3456" spans="1:1" x14ac:dyDescent="0.2">
      <c r="A3456" s="366"/>
    </row>
    <row r="3457" spans="1:1" x14ac:dyDescent="0.2">
      <c r="A3457" s="366"/>
    </row>
    <row r="3458" spans="1:1" x14ac:dyDescent="0.2">
      <c r="A3458" s="366"/>
    </row>
    <row r="3459" spans="1:1" x14ac:dyDescent="0.2">
      <c r="A3459" s="366"/>
    </row>
    <row r="3460" spans="1:1" x14ac:dyDescent="0.2">
      <c r="A3460" s="366"/>
    </row>
    <row r="3461" spans="1:1" x14ac:dyDescent="0.2">
      <c r="A3461" s="366"/>
    </row>
    <row r="3462" spans="1:1" x14ac:dyDescent="0.2">
      <c r="A3462" s="366"/>
    </row>
    <row r="3463" spans="1:1" x14ac:dyDescent="0.2">
      <c r="A3463" s="366"/>
    </row>
    <row r="3464" spans="1:1" x14ac:dyDescent="0.2">
      <c r="A3464" s="366"/>
    </row>
    <row r="3465" spans="1:1" x14ac:dyDescent="0.2">
      <c r="A3465" s="366"/>
    </row>
    <row r="3466" spans="1:1" x14ac:dyDescent="0.2">
      <c r="A3466" s="366"/>
    </row>
    <row r="3467" spans="1:1" x14ac:dyDescent="0.2">
      <c r="A3467" s="366"/>
    </row>
    <row r="3468" spans="1:1" x14ac:dyDescent="0.2">
      <c r="A3468" s="366"/>
    </row>
    <row r="3469" spans="1:1" x14ac:dyDescent="0.2">
      <c r="A3469" s="366"/>
    </row>
    <row r="3470" spans="1:1" x14ac:dyDescent="0.2">
      <c r="A3470" s="366"/>
    </row>
    <row r="3471" spans="1:1" x14ac:dyDescent="0.2">
      <c r="A3471" s="366"/>
    </row>
    <row r="3472" spans="1:1" x14ac:dyDescent="0.2">
      <c r="A3472" s="366"/>
    </row>
    <row r="3473" spans="1:1" x14ac:dyDescent="0.2">
      <c r="A3473" s="366"/>
    </row>
    <row r="3474" spans="1:1" x14ac:dyDescent="0.2">
      <c r="A3474" s="366"/>
    </row>
    <row r="3475" spans="1:1" x14ac:dyDescent="0.2">
      <c r="A3475" s="366"/>
    </row>
    <row r="3476" spans="1:1" x14ac:dyDescent="0.2">
      <c r="A3476" s="366"/>
    </row>
    <row r="3477" spans="1:1" x14ac:dyDescent="0.2">
      <c r="A3477" s="366"/>
    </row>
    <row r="3478" spans="1:1" x14ac:dyDescent="0.2">
      <c r="A3478" s="366"/>
    </row>
    <row r="3479" spans="1:1" x14ac:dyDescent="0.2">
      <c r="A3479" s="366"/>
    </row>
    <row r="3480" spans="1:1" x14ac:dyDescent="0.2">
      <c r="A3480" s="366"/>
    </row>
    <row r="3481" spans="1:1" x14ac:dyDescent="0.2">
      <c r="A3481" s="366"/>
    </row>
    <row r="3482" spans="1:1" x14ac:dyDescent="0.2">
      <c r="A3482" s="366"/>
    </row>
    <row r="3483" spans="1:1" x14ac:dyDescent="0.2">
      <c r="A3483" s="366"/>
    </row>
    <row r="3484" spans="1:1" x14ac:dyDescent="0.2">
      <c r="A3484" s="366"/>
    </row>
    <row r="3485" spans="1:1" x14ac:dyDescent="0.2">
      <c r="A3485" s="366"/>
    </row>
    <row r="3486" spans="1:1" x14ac:dyDescent="0.2">
      <c r="A3486" s="366"/>
    </row>
    <row r="3487" spans="1:1" x14ac:dyDescent="0.2">
      <c r="A3487" s="366"/>
    </row>
    <row r="3488" spans="1:1" x14ac:dyDescent="0.2">
      <c r="A3488" s="366"/>
    </row>
    <row r="3489" spans="1:1" x14ac:dyDescent="0.2">
      <c r="A3489" s="366"/>
    </row>
    <row r="3490" spans="1:1" x14ac:dyDescent="0.2">
      <c r="A3490" s="366"/>
    </row>
    <row r="3491" spans="1:1" x14ac:dyDescent="0.2">
      <c r="A3491" s="366"/>
    </row>
    <row r="3492" spans="1:1" x14ac:dyDescent="0.2">
      <c r="A3492" s="366"/>
    </row>
    <row r="3493" spans="1:1" x14ac:dyDescent="0.2">
      <c r="A3493" s="366"/>
    </row>
    <row r="3494" spans="1:1" x14ac:dyDescent="0.2">
      <c r="A3494" s="366"/>
    </row>
    <row r="3495" spans="1:1" x14ac:dyDescent="0.2">
      <c r="A3495" s="366"/>
    </row>
    <row r="3496" spans="1:1" x14ac:dyDescent="0.2">
      <c r="A3496" s="366"/>
    </row>
    <row r="3497" spans="1:1" x14ac:dyDescent="0.2">
      <c r="A3497" s="366"/>
    </row>
    <row r="3498" spans="1:1" x14ac:dyDescent="0.2">
      <c r="A3498" s="366"/>
    </row>
    <row r="3499" spans="1:1" x14ac:dyDescent="0.2">
      <c r="A3499" s="366"/>
    </row>
    <row r="3500" spans="1:1" x14ac:dyDescent="0.2">
      <c r="A3500" s="366"/>
    </row>
    <row r="3501" spans="1:1" x14ac:dyDescent="0.2">
      <c r="A3501" s="366"/>
    </row>
    <row r="3502" spans="1:1" x14ac:dyDescent="0.2">
      <c r="A3502" s="366"/>
    </row>
    <row r="3503" spans="1:1" x14ac:dyDescent="0.2">
      <c r="A3503" s="366"/>
    </row>
    <row r="3504" spans="1:1" x14ac:dyDescent="0.2">
      <c r="A3504" s="366"/>
    </row>
    <row r="3505" spans="1:1" x14ac:dyDescent="0.2">
      <c r="A3505" s="366"/>
    </row>
    <row r="3506" spans="1:1" x14ac:dyDescent="0.2">
      <c r="A3506" s="366"/>
    </row>
    <row r="3507" spans="1:1" x14ac:dyDescent="0.2">
      <c r="A3507" s="366"/>
    </row>
    <row r="3508" spans="1:1" x14ac:dyDescent="0.2">
      <c r="A3508" s="366"/>
    </row>
    <row r="3509" spans="1:1" x14ac:dyDescent="0.2">
      <c r="A3509" s="366"/>
    </row>
    <row r="3510" spans="1:1" x14ac:dyDescent="0.2">
      <c r="A3510" s="366"/>
    </row>
    <row r="3511" spans="1:1" x14ac:dyDescent="0.2">
      <c r="A3511" s="366"/>
    </row>
    <row r="3512" spans="1:1" x14ac:dyDescent="0.2">
      <c r="A3512" s="366"/>
    </row>
    <row r="3513" spans="1:1" x14ac:dyDescent="0.2">
      <c r="A3513" s="366"/>
    </row>
    <row r="3514" spans="1:1" x14ac:dyDescent="0.2">
      <c r="A3514" s="366"/>
    </row>
    <row r="3515" spans="1:1" x14ac:dyDescent="0.2">
      <c r="A3515" s="366"/>
    </row>
    <row r="3516" spans="1:1" x14ac:dyDescent="0.2">
      <c r="A3516" s="366"/>
    </row>
    <row r="3517" spans="1:1" x14ac:dyDescent="0.2">
      <c r="A3517" s="366"/>
    </row>
    <row r="3518" spans="1:1" x14ac:dyDescent="0.2">
      <c r="A3518" s="366"/>
    </row>
    <row r="3519" spans="1:1" x14ac:dyDescent="0.2">
      <c r="A3519" s="366"/>
    </row>
    <row r="3520" spans="1:1" x14ac:dyDescent="0.2">
      <c r="A3520" s="366"/>
    </row>
    <row r="3521" spans="1:1" x14ac:dyDescent="0.2">
      <c r="A3521" s="366"/>
    </row>
    <row r="3522" spans="1:1" x14ac:dyDescent="0.2">
      <c r="A3522" s="366"/>
    </row>
    <row r="3523" spans="1:1" x14ac:dyDescent="0.2">
      <c r="A3523" s="366"/>
    </row>
    <row r="3524" spans="1:1" x14ac:dyDescent="0.2">
      <c r="A3524" s="366"/>
    </row>
    <row r="3525" spans="1:1" x14ac:dyDescent="0.2">
      <c r="A3525" s="366"/>
    </row>
    <row r="3526" spans="1:1" x14ac:dyDescent="0.2">
      <c r="A3526" s="366"/>
    </row>
    <row r="3527" spans="1:1" x14ac:dyDescent="0.2">
      <c r="A3527" s="366"/>
    </row>
    <row r="3528" spans="1:1" x14ac:dyDescent="0.2">
      <c r="A3528" s="366"/>
    </row>
    <row r="3529" spans="1:1" x14ac:dyDescent="0.2">
      <c r="A3529" s="366"/>
    </row>
    <row r="3530" spans="1:1" x14ac:dyDescent="0.2">
      <c r="A3530" s="366"/>
    </row>
    <row r="3531" spans="1:1" x14ac:dyDescent="0.2">
      <c r="A3531" s="366"/>
    </row>
    <row r="3532" spans="1:1" x14ac:dyDescent="0.2">
      <c r="A3532" s="366"/>
    </row>
    <row r="3533" spans="1:1" x14ac:dyDescent="0.2">
      <c r="A3533" s="366"/>
    </row>
    <row r="3534" spans="1:1" x14ac:dyDescent="0.2">
      <c r="A3534" s="366"/>
    </row>
    <row r="3535" spans="1:1" x14ac:dyDescent="0.2">
      <c r="A3535" s="366"/>
    </row>
    <row r="3536" spans="1:1" x14ac:dyDescent="0.2">
      <c r="A3536" s="366"/>
    </row>
    <row r="3537" spans="1:1" x14ac:dyDescent="0.2">
      <c r="A3537" s="366"/>
    </row>
    <row r="3538" spans="1:1" x14ac:dyDescent="0.2">
      <c r="A3538" s="366"/>
    </row>
    <row r="3539" spans="1:1" x14ac:dyDescent="0.2">
      <c r="A3539" s="366"/>
    </row>
    <row r="3540" spans="1:1" x14ac:dyDescent="0.2">
      <c r="A3540" s="366"/>
    </row>
    <row r="3541" spans="1:1" x14ac:dyDescent="0.2">
      <c r="A3541" s="366"/>
    </row>
    <row r="3542" spans="1:1" x14ac:dyDescent="0.2">
      <c r="A3542" s="366"/>
    </row>
    <row r="3543" spans="1:1" x14ac:dyDescent="0.2">
      <c r="A3543" s="366"/>
    </row>
    <row r="3544" spans="1:1" x14ac:dyDescent="0.2">
      <c r="A3544" s="366"/>
    </row>
    <row r="3545" spans="1:1" x14ac:dyDescent="0.2">
      <c r="A3545" s="366"/>
    </row>
    <row r="3546" spans="1:1" x14ac:dyDescent="0.2">
      <c r="A3546" s="366"/>
    </row>
    <row r="3547" spans="1:1" x14ac:dyDescent="0.2">
      <c r="A3547" s="366"/>
    </row>
    <row r="3548" spans="1:1" x14ac:dyDescent="0.2">
      <c r="A3548" s="366"/>
    </row>
    <row r="3549" spans="1:1" x14ac:dyDescent="0.2">
      <c r="A3549" s="366"/>
    </row>
    <row r="3550" spans="1:1" x14ac:dyDescent="0.2">
      <c r="A3550" s="366"/>
    </row>
    <row r="3551" spans="1:1" x14ac:dyDescent="0.2">
      <c r="A3551" s="366"/>
    </row>
    <row r="3552" spans="1:1" x14ac:dyDescent="0.2">
      <c r="A3552" s="366"/>
    </row>
    <row r="3553" spans="1:1" x14ac:dyDescent="0.2">
      <c r="A3553" s="366"/>
    </row>
    <row r="3554" spans="1:1" x14ac:dyDescent="0.2">
      <c r="A3554" s="366"/>
    </row>
    <row r="3555" spans="1:1" x14ac:dyDescent="0.2">
      <c r="A3555" s="366"/>
    </row>
    <row r="3556" spans="1:1" x14ac:dyDescent="0.2">
      <c r="A3556" s="366"/>
    </row>
    <row r="3557" spans="1:1" x14ac:dyDescent="0.2">
      <c r="A3557" s="366"/>
    </row>
    <row r="3558" spans="1:1" x14ac:dyDescent="0.2">
      <c r="A3558" s="366"/>
    </row>
    <row r="3559" spans="1:1" x14ac:dyDescent="0.2">
      <c r="A3559" s="366"/>
    </row>
    <row r="3560" spans="1:1" x14ac:dyDescent="0.2">
      <c r="A3560" s="366"/>
    </row>
    <row r="3561" spans="1:1" x14ac:dyDescent="0.2">
      <c r="A3561" s="366"/>
    </row>
    <row r="3562" spans="1:1" x14ac:dyDescent="0.2">
      <c r="A3562" s="366"/>
    </row>
    <row r="3563" spans="1:1" x14ac:dyDescent="0.2">
      <c r="A3563" s="366"/>
    </row>
    <row r="3564" spans="1:1" x14ac:dyDescent="0.2">
      <c r="A3564" s="366"/>
    </row>
    <row r="3565" spans="1:1" x14ac:dyDescent="0.2">
      <c r="A3565" s="366"/>
    </row>
    <row r="3566" spans="1:1" x14ac:dyDescent="0.2">
      <c r="A3566" s="366"/>
    </row>
    <row r="3567" spans="1:1" x14ac:dyDescent="0.2">
      <c r="A3567" s="366"/>
    </row>
    <row r="3568" spans="1:1" x14ac:dyDescent="0.2">
      <c r="A3568" s="366"/>
    </row>
    <row r="3569" spans="1:1" x14ac:dyDescent="0.2">
      <c r="A3569" s="366"/>
    </row>
    <row r="3570" spans="1:1" x14ac:dyDescent="0.2">
      <c r="A3570" s="366"/>
    </row>
    <row r="3571" spans="1:1" x14ac:dyDescent="0.2">
      <c r="A3571" s="366"/>
    </row>
    <row r="3572" spans="1:1" x14ac:dyDescent="0.2">
      <c r="A3572" s="366"/>
    </row>
    <row r="3573" spans="1:1" x14ac:dyDescent="0.2">
      <c r="A3573" s="366"/>
    </row>
    <row r="3574" spans="1:1" x14ac:dyDescent="0.2">
      <c r="A3574" s="366"/>
    </row>
    <row r="3575" spans="1:1" x14ac:dyDescent="0.2">
      <c r="A3575" s="366"/>
    </row>
    <row r="3576" spans="1:1" x14ac:dyDescent="0.2">
      <c r="A3576" s="366"/>
    </row>
    <row r="3577" spans="1:1" x14ac:dyDescent="0.2">
      <c r="A3577" s="366"/>
    </row>
    <row r="3578" spans="1:1" x14ac:dyDescent="0.2">
      <c r="A3578" s="366"/>
    </row>
    <row r="3579" spans="1:1" x14ac:dyDescent="0.2">
      <c r="A3579" s="366"/>
    </row>
    <row r="3580" spans="1:1" x14ac:dyDescent="0.2">
      <c r="A3580" s="366"/>
    </row>
    <row r="3581" spans="1:1" x14ac:dyDescent="0.2">
      <c r="A3581" s="366"/>
    </row>
    <row r="3582" spans="1:1" x14ac:dyDescent="0.2">
      <c r="A3582" s="366"/>
    </row>
    <row r="3583" spans="1:1" x14ac:dyDescent="0.2">
      <c r="A3583" s="366"/>
    </row>
    <row r="3584" spans="1:1" x14ac:dyDescent="0.2">
      <c r="A3584" s="366"/>
    </row>
    <row r="3585" spans="1:1" x14ac:dyDescent="0.2">
      <c r="A3585" s="366"/>
    </row>
    <row r="3586" spans="1:1" x14ac:dyDescent="0.2">
      <c r="A3586" s="366"/>
    </row>
    <row r="3587" spans="1:1" x14ac:dyDescent="0.2">
      <c r="A3587" s="366"/>
    </row>
    <row r="3588" spans="1:1" x14ac:dyDescent="0.2">
      <c r="A3588" s="366"/>
    </row>
    <row r="3589" spans="1:1" x14ac:dyDescent="0.2">
      <c r="A3589" s="366"/>
    </row>
    <row r="3590" spans="1:1" x14ac:dyDescent="0.2">
      <c r="A3590" s="366"/>
    </row>
    <row r="3591" spans="1:1" x14ac:dyDescent="0.2">
      <c r="A3591" s="366"/>
    </row>
    <row r="3592" spans="1:1" x14ac:dyDescent="0.2">
      <c r="A3592" s="366"/>
    </row>
    <row r="3593" spans="1:1" x14ac:dyDescent="0.2">
      <c r="A3593" s="366"/>
    </row>
    <row r="3594" spans="1:1" x14ac:dyDescent="0.2">
      <c r="A3594" s="366"/>
    </row>
    <row r="3595" spans="1:1" x14ac:dyDescent="0.2">
      <c r="A3595" s="366"/>
    </row>
    <row r="3596" spans="1:1" x14ac:dyDescent="0.2">
      <c r="A3596" s="366"/>
    </row>
    <row r="3597" spans="1:1" x14ac:dyDescent="0.2">
      <c r="A3597" s="366"/>
    </row>
    <row r="3598" spans="1:1" x14ac:dyDescent="0.2">
      <c r="A3598" s="366"/>
    </row>
    <row r="3599" spans="1:1" x14ac:dyDescent="0.2">
      <c r="A3599" s="366"/>
    </row>
    <row r="3600" spans="1:1" x14ac:dyDescent="0.2">
      <c r="A3600" s="366"/>
    </row>
    <row r="3601" spans="1:1" x14ac:dyDescent="0.2">
      <c r="A3601" s="366"/>
    </row>
    <row r="3602" spans="1:1" x14ac:dyDescent="0.2">
      <c r="A3602" s="366"/>
    </row>
    <row r="3603" spans="1:1" x14ac:dyDescent="0.2">
      <c r="A3603" s="366"/>
    </row>
    <row r="3604" spans="1:1" x14ac:dyDescent="0.2">
      <c r="A3604" s="366"/>
    </row>
    <row r="3605" spans="1:1" x14ac:dyDescent="0.2">
      <c r="A3605" s="366"/>
    </row>
    <row r="3606" spans="1:1" x14ac:dyDescent="0.2">
      <c r="A3606" s="366"/>
    </row>
    <row r="3607" spans="1:1" x14ac:dyDescent="0.2">
      <c r="A3607" s="366"/>
    </row>
    <row r="3608" spans="1:1" x14ac:dyDescent="0.2">
      <c r="A3608" s="366"/>
    </row>
    <row r="3609" spans="1:1" x14ac:dyDescent="0.2">
      <c r="A3609" s="366"/>
    </row>
    <row r="3610" spans="1:1" x14ac:dyDescent="0.2">
      <c r="A3610" s="366"/>
    </row>
    <row r="3611" spans="1:1" x14ac:dyDescent="0.2">
      <c r="A3611" s="366"/>
    </row>
    <row r="3612" spans="1:1" x14ac:dyDescent="0.2">
      <c r="A3612" s="366"/>
    </row>
    <row r="3613" spans="1:1" x14ac:dyDescent="0.2">
      <c r="A3613" s="366"/>
    </row>
    <row r="3614" spans="1:1" x14ac:dyDescent="0.2">
      <c r="A3614" s="366"/>
    </row>
    <row r="3615" spans="1:1" x14ac:dyDescent="0.2">
      <c r="A3615" s="366"/>
    </row>
    <row r="3616" spans="1:1" x14ac:dyDescent="0.2">
      <c r="A3616" s="366"/>
    </row>
    <row r="3617" spans="1:1" x14ac:dyDescent="0.2">
      <c r="A3617" s="366"/>
    </row>
    <row r="3618" spans="1:1" x14ac:dyDescent="0.2">
      <c r="A3618" s="366"/>
    </row>
    <row r="3619" spans="1:1" x14ac:dyDescent="0.2">
      <c r="A3619" s="366"/>
    </row>
    <row r="3620" spans="1:1" x14ac:dyDescent="0.2">
      <c r="A3620" s="366"/>
    </row>
    <row r="3621" spans="1:1" x14ac:dyDescent="0.2">
      <c r="A3621" s="366"/>
    </row>
    <row r="3622" spans="1:1" x14ac:dyDescent="0.2">
      <c r="A3622" s="366"/>
    </row>
    <row r="3623" spans="1:1" x14ac:dyDescent="0.2">
      <c r="A3623" s="366"/>
    </row>
    <row r="3624" spans="1:1" x14ac:dyDescent="0.2">
      <c r="A3624" s="366"/>
    </row>
    <row r="3625" spans="1:1" x14ac:dyDescent="0.2">
      <c r="A3625" s="366"/>
    </row>
    <row r="3626" spans="1:1" x14ac:dyDescent="0.2">
      <c r="A3626" s="366"/>
    </row>
    <row r="3627" spans="1:1" x14ac:dyDescent="0.2">
      <c r="A3627" s="366"/>
    </row>
    <row r="3628" spans="1:1" x14ac:dyDescent="0.2">
      <c r="A3628" s="366"/>
    </row>
    <row r="3629" spans="1:1" x14ac:dyDescent="0.2">
      <c r="A3629" s="366"/>
    </row>
    <row r="3630" spans="1:1" x14ac:dyDescent="0.2">
      <c r="A3630" s="366"/>
    </row>
    <row r="3631" spans="1:1" x14ac:dyDescent="0.2">
      <c r="A3631" s="366"/>
    </row>
    <row r="3632" spans="1:1" x14ac:dyDescent="0.2">
      <c r="A3632" s="366"/>
    </row>
    <row r="3633" spans="1:1" x14ac:dyDescent="0.2">
      <c r="A3633" s="366"/>
    </row>
    <row r="3634" spans="1:1" x14ac:dyDescent="0.2">
      <c r="A3634" s="366"/>
    </row>
    <row r="3635" spans="1:1" x14ac:dyDescent="0.2">
      <c r="A3635" s="366"/>
    </row>
    <row r="3636" spans="1:1" x14ac:dyDescent="0.2">
      <c r="A3636" s="366"/>
    </row>
    <row r="3637" spans="1:1" x14ac:dyDescent="0.2">
      <c r="A3637" s="366"/>
    </row>
    <row r="3638" spans="1:1" x14ac:dyDescent="0.2">
      <c r="A3638" s="366"/>
    </row>
    <row r="3639" spans="1:1" x14ac:dyDescent="0.2">
      <c r="A3639" s="366"/>
    </row>
    <row r="3640" spans="1:1" x14ac:dyDescent="0.2">
      <c r="A3640" s="366"/>
    </row>
    <row r="3641" spans="1:1" x14ac:dyDescent="0.2">
      <c r="A3641" s="366"/>
    </row>
    <row r="3642" spans="1:1" x14ac:dyDescent="0.2">
      <c r="A3642" s="366"/>
    </row>
    <row r="3643" spans="1:1" x14ac:dyDescent="0.2">
      <c r="A3643" s="366"/>
    </row>
    <row r="3644" spans="1:1" x14ac:dyDescent="0.2">
      <c r="A3644" s="366"/>
    </row>
    <row r="3645" spans="1:1" x14ac:dyDescent="0.2">
      <c r="A3645" s="366"/>
    </row>
    <row r="3646" spans="1:1" x14ac:dyDescent="0.2">
      <c r="A3646" s="366"/>
    </row>
    <row r="3647" spans="1:1" x14ac:dyDescent="0.2">
      <c r="A3647" s="366"/>
    </row>
    <row r="3648" spans="1:1" x14ac:dyDescent="0.2">
      <c r="A3648" s="366"/>
    </row>
    <row r="3649" spans="1:1" x14ac:dyDescent="0.2">
      <c r="A3649" s="366"/>
    </row>
    <row r="3650" spans="1:1" x14ac:dyDescent="0.2">
      <c r="A3650" s="366"/>
    </row>
    <row r="3651" spans="1:1" x14ac:dyDescent="0.2">
      <c r="A3651" s="366"/>
    </row>
    <row r="3652" spans="1:1" x14ac:dyDescent="0.2">
      <c r="A3652" s="366"/>
    </row>
    <row r="3653" spans="1:1" x14ac:dyDescent="0.2">
      <c r="A3653" s="366"/>
    </row>
    <row r="3654" spans="1:1" x14ac:dyDescent="0.2">
      <c r="A3654" s="366"/>
    </row>
    <row r="3655" spans="1:1" x14ac:dyDescent="0.2">
      <c r="A3655" s="366"/>
    </row>
    <row r="3656" spans="1:1" x14ac:dyDescent="0.2">
      <c r="A3656" s="366"/>
    </row>
    <row r="3657" spans="1:1" x14ac:dyDescent="0.2">
      <c r="A3657" s="366"/>
    </row>
    <row r="3658" spans="1:1" x14ac:dyDescent="0.2">
      <c r="A3658" s="366"/>
    </row>
    <row r="3659" spans="1:1" x14ac:dyDescent="0.2">
      <c r="A3659" s="366"/>
    </row>
    <row r="3660" spans="1:1" x14ac:dyDescent="0.2">
      <c r="A3660" s="366"/>
    </row>
    <row r="3661" spans="1:1" x14ac:dyDescent="0.2">
      <c r="A3661" s="366"/>
    </row>
    <row r="3662" spans="1:1" x14ac:dyDescent="0.2">
      <c r="A3662" s="366"/>
    </row>
    <row r="3663" spans="1:1" x14ac:dyDescent="0.2">
      <c r="A3663" s="366"/>
    </row>
    <row r="3664" spans="1:1" x14ac:dyDescent="0.2">
      <c r="A3664" s="366"/>
    </row>
    <row r="3665" spans="1:1" x14ac:dyDescent="0.2">
      <c r="A3665" s="366"/>
    </row>
    <row r="3666" spans="1:1" x14ac:dyDescent="0.2">
      <c r="A3666" s="366"/>
    </row>
    <row r="3667" spans="1:1" x14ac:dyDescent="0.2">
      <c r="A3667" s="366"/>
    </row>
    <row r="3668" spans="1:1" x14ac:dyDescent="0.2">
      <c r="A3668" s="366"/>
    </row>
    <row r="3669" spans="1:1" x14ac:dyDescent="0.2">
      <c r="A3669" s="366"/>
    </row>
    <row r="3670" spans="1:1" x14ac:dyDescent="0.2">
      <c r="A3670" s="366"/>
    </row>
    <row r="3671" spans="1:1" x14ac:dyDescent="0.2">
      <c r="A3671" s="366"/>
    </row>
    <row r="3672" spans="1:1" x14ac:dyDescent="0.2">
      <c r="A3672" s="366"/>
    </row>
    <row r="3673" spans="1:1" x14ac:dyDescent="0.2">
      <c r="A3673" s="366"/>
    </row>
    <row r="3674" spans="1:1" x14ac:dyDescent="0.2">
      <c r="A3674" s="366"/>
    </row>
    <row r="3675" spans="1:1" x14ac:dyDescent="0.2">
      <c r="A3675" s="366"/>
    </row>
    <row r="3676" spans="1:1" x14ac:dyDescent="0.2">
      <c r="A3676" s="366"/>
    </row>
    <row r="3677" spans="1:1" x14ac:dyDescent="0.2">
      <c r="A3677" s="366"/>
    </row>
    <row r="3678" spans="1:1" x14ac:dyDescent="0.2">
      <c r="A3678" s="366"/>
    </row>
    <row r="3679" spans="1:1" x14ac:dyDescent="0.2">
      <c r="A3679" s="366"/>
    </row>
    <row r="3680" spans="1:1" x14ac:dyDescent="0.2">
      <c r="A3680" s="366"/>
    </row>
    <row r="3681" spans="1:1" x14ac:dyDescent="0.2">
      <c r="A3681" s="366"/>
    </row>
    <row r="3682" spans="1:1" x14ac:dyDescent="0.2">
      <c r="A3682" s="366"/>
    </row>
    <row r="3683" spans="1:1" x14ac:dyDescent="0.2">
      <c r="A3683" s="366"/>
    </row>
    <row r="3684" spans="1:1" x14ac:dyDescent="0.2">
      <c r="A3684" s="366"/>
    </row>
    <row r="3685" spans="1:1" x14ac:dyDescent="0.2">
      <c r="A3685" s="366"/>
    </row>
    <row r="3686" spans="1:1" x14ac:dyDescent="0.2">
      <c r="A3686" s="366"/>
    </row>
    <row r="3687" spans="1:1" x14ac:dyDescent="0.2">
      <c r="A3687" s="366"/>
    </row>
    <row r="3688" spans="1:1" x14ac:dyDescent="0.2">
      <c r="A3688" s="366"/>
    </row>
    <row r="3689" spans="1:1" x14ac:dyDescent="0.2">
      <c r="A3689" s="366"/>
    </row>
    <row r="3690" spans="1:1" x14ac:dyDescent="0.2">
      <c r="A3690" s="366"/>
    </row>
    <row r="3691" spans="1:1" x14ac:dyDescent="0.2">
      <c r="A3691" s="366"/>
    </row>
    <row r="3692" spans="1:1" x14ac:dyDescent="0.2">
      <c r="A3692" s="366"/>
    </row>
    <row r="3693" spans="1:1" x14ac:dyDescent="0.2">
      <c r="A3693" s="366"/>
    </row>
    <row r="3694" spans="1:1" x14ac:dyDescent="0.2">
      <c r="A3694" s="366"/>
    </row>
    <row r="3695" spans="1:1" x14ac:dyDescent="0.2">
      <c r="A3695" s="366"/>
    </row>
    <row r="3696" spans="1:1" x14ac:dyDescent="0.2">
      <c r="A3696" s="366"/>
    </row>
    <row r="3697" spans="1:1" x14ac:dyDescent="0.2">
      <c r="A3697" s="366"/>
    </row>
    <row r="3698" spans="1:1" x14ac:dyDescent="0.2">
      <c r="A3698" s="366"/>
    </row>
    <row r="3699" spans="1:1" x14ac:dyDescent="0.2">
      <c r="A3699" s="366"/>
    </row>
    <row r="3700" spans="1:1" x14ac:dyDescent="0.2">
      <c r="A3700" s="366"/>
    </row>
    <row r="3701" spans="1:1" x14ac:dyDescent="0.2">
      <c r="A3701" s="366"/>
    </row>
    <row r="3702" spans="1:1" x14ac:dyDescent="0.2">
      <c r="A3702" s="366"/>
    </row>
    <row r="3703" spans="1:1" x14ac:dyDescent="0.2">
      <c r="A3703" s="366"/>
    </row>
    <row r="3704" spans="1:1" x14ac:dyDescent="0.2">
      <c r="A3704" s="366"/>
    </row>
    <row r="3705" spans="1:1" x14ac:dyDescent="0.2">
      <c r="A3705" s="366"/>
    </row>
    <row r="3706" spans="1:1" x14ac:dyDescent="0.2">
      <c r="A3706" s="366"/>
    </row>
    <row r="3707" spans="1:1" x14ac:dyDescent="0.2">
      <c r="A3707" s="366"/>
    </row>
    <row r="3708" spans="1:1" x14ac:dyDescent="0.2">
      <c r="A3708" s="366"/>
    </row>
    <row r="3709" spans="1:1" x14ac:dyDescent="0.2">
      <c r="A3709" s="366"/>
    </row>
    <row r="3710" spans="1:1" x14ac:dyDescent="0.2">
      <c r="A3710" s="366"/>
    </row>
    <row r="3711" spans="1:1" x14ac:dyDescent="0.2">
      <c r="A3711" s="366"/>
    </row>
    <row r="3712" spans="1:1" x14ac:dyDescent="0.2">
      <c r="A3712" s="366"/>
    </row>
    <row r="3713" spans="1:1" x14ac:dyDescent="0.2">
      <c r="A3713" s="366"/>
    </row>
    <row r="3714" spans="1:1" x14ac:dyDescent="0.2">
      <c r="A3714" s="366"/>
    </row>
    <row r="3715" spans="1:1" x14ac:dyDescent="0.2">
      <c r="A3715" s="366"/>
    </row>
    <row r="3716" spans="1:1" x14ac:dyDescent="0.2">
      <c r="A3716" s="366"/>
    </row>
    <row r="3717" spans="1:1" x14ac:dyDescent="0.2">
      <c r="A3717" s="366"/>
    </row>
    <row r="3718" spans="1:1" x14ac:dyDescent="0.2">
      <c r="A3718" s="366"/>
    </row>
    <row r="3719" spans="1:1" x14ac:dyDescent="0.2">
      <c r="A3719" s="366"/>
    </row>
    <row r="3720" spans="1:1" x14ac:dyDescent="0.2">
      <c r="A3720" s="366"/>
    </row>
    <row r="3721" spans="1:1" x14ac:dyDescent="0.2">
      <c r="A3721" s="366"/>
    </row>
    <row r="3722" spans="1:1" x14ac:dyDescent="0.2">
      <c r="A3722" s="366"/>
    </row>
    <row r="3723" spans="1:1" x14ac:dyDescent="0.2">
      <c r="A3723" s="366"/>
    </row>
    <row r="3724" spans="1:1" x14ac:dyDescent="0.2">
      <c r="A3724" s="366"/>
    </row>
    <row r="3725" spans="1:1" x14ac:dyDescent="0.2">
      <c r="A3725" s="366"/>
    </row>
    <row r="3726" spans="1:1" x14ac:dyDescent="0.2">
      <c r="A3726" s="366"/>
    </row>
    <row r="3727" spans="1:1" x14ac:dyDescent="0.2">
      <c r="A3727" s="366"/>
    </row>
    <row r="3728" spans="1:1" x14ac:dyDescent="0.2">
      <c r="A3728" s="366"/>
    </row>
    <row r="3729" spans="1:1" x14ac:dyDescent="0.2">
      <c r="A3729" s="366"/>
    </row>
    <row r="3730" spans="1:1" x14ac:dyDescent="0.2">
      <c r="A3730" s="366"/>
    </row>
    <row r="3731" spans="1:1" x14ac:dyDescent="0.2">
      <c r="A3731" s="366"/>
    </row>
    <row r="3732" spans="1:1" x14ac:dyDescent="0.2">
      <c r="A3732" s="366"/>
    </row>
    <row r="3733" spans="1:1" x14ac:dyDescent="0.2">
      <c r="A3733" s="366"/>
    </row>
    <row r="3734" spans="1:1" x14ac:dyDescent="0.2">
      <c r="A3734" s="366"/>
    </row>
    <row r="3735" spans="1:1" x14ac:dyDescent="0.2">
      <c r="A3735" s="366"/>
    </row>
    <row r="3736" spans="1:1" x14ac:dyDescent="0.2">
      <c r="A3736" s="366"/>
    </row>
    <row r="3737" spans="1:1" x14ac:dyDescent="0.2">
      <c r="A3737" s="366"/>
    </row>
    <row r="3738" spans="1:1" x14ac:dyDescent="0.2">
      <c r="A3738" s="366"/>
    </row>
    <row r="3739" spans="1:1" x14ac:dyDescent="0.2">
      <c r="A3739" s="366"/>
    </row>
    <row r="3740" spans="1:1" x14ac:dyDescent="0.2">
      <c r="A3740" s="366"/>
    </row>
    <row r="3741" spans="1:1" x14ac:dyDescent="0.2">
      <c r="A3741" s="366"/>
    </row>
    <row r="3742" spans="1:1" x14ac:dyDescent="0.2">
      <c r="A3742" s="366"/>
    </row>
    <row r="3743" spans="1:1" x14ac:dyDescent="0.2">
      <c r="A3743" s="366"/>
    </row>
    <row r="3744" spans="1:1" x14ac:dyDescent="0.2">
      <c r="A3744" s="366"/>
    </row>
    <row r="3745" spans="1:1" x14ac:dyDescent="0.2">
      <c r="A3745" s="366"/>
    </row>
    <row r="3746" spans="1:1" x14ac:dyDescent="0.2">
      <c r="A3746" s="366"/>
    </row>
    <row r="3747" spans="1:1" x14ac:dyDescent="0.2">
      <c r="A3747" s="366"/>
    </row>
    <row r="3748" spans="1:1" x14ac:dyDescent="0.2">
      <c r="A3748" s="366"/>
    </row>
    <row r="3749" spans="1:1" x14ac:dyDescent="0.2">
      <c r="A3749" s="366"/>
    </row>
    <row r="3750" spans="1:1" x14ac:dyDescent="0.2">
      <c r="A3750" s="366"/>
    </row>
    <row r="3751" spans="1:1" x14ac:dyDescent="0.2">
      <c r="A3751" s="366"/>
    </row>
    <row r="3752" spans="1:1" x14ac:dyDescent="0.2">
      <c r="A3752" s="366"/>
    </row>
    <row r="3753" spans="1:1" x14ac:dyDescent="0.2">
      <c r="A3753" s="366"/>
    </row>
    <row r="3754" spans="1:1" x14ac:dyDescent="0.2">
      <c r="A3754" s="366"/>
    </row>
    <row r="3755" spans="1:1" x14ac:dyDescent="0.2">
      <c r="A3755" s="366"/>
    </row>
    <row r="3756" spans="1:1" x14ac:dyDescent="0.2">
      <c r="A3756" s="366"/>
    </row>
    <row r="3757" spans="1:1" x14ac:dyDescent="0.2">
      <c r="A3757" s="366"/>
    </row>
    <row r="3758" spans="1:1" x14ac:dyDescent="0.2">
      <c r="A3758" s="366"/>
    </row>
    <row r="3759" spans="1:1" x14ac:dyDescent="0.2">
      <c r="A3759" s="366"/>
    </row>
    <row r="3760" spans="1:1" x14ac:dyDescent="0.2">
      <c r="A3760" s="366"/>
    </row>
    <row r="3761" spans="1:1" x14ac:dyDescent="0.2">
      <c r="A3761" s="366"/>
    </row>
    <row r="3762" spans="1:1" x14ac:dyDescent="0.2">
      <c r="A3762" s="366"/>
    </row>
    <row r="3763" spans="1:1" x14ac:dyDescent="0.2">
      <c r="A3763" s="366"/>
    </row>
    <row r="3764" spans="1:1" x14ac:dyDescent="0.2">
      <c r="A3764" s="366"/>
    </row>
    <row r="3765" spans="1:1" x14ac:dyDescent="0.2">
      <c r="A3765" s="366"/>
    </row>
    <row r="3766" spans="1:1" x14ac:dyDescent="0.2">
      <c r="A3766" s="366"/>
    </row>
    <row r="3767" spans="1:1" x14ac:dyDescent="0.2">
      <c r="A3767" s="366"/>
    </row>
    <row r="3768" spans="1:1" x14ac:dyDescent="0.2">
      <c r="A3768" s="366"/>
    </row>
    <row r="3769" spans="1:1" x14ac:dyDescent="0.2">
      <c r="A3769" s="366"/>
    </row>
    <row r="3770" spans="1:1" x14ac:dyDescent="0.2">
      <c r="A3770" s="366"/>
    </row>
    <row r="3771" spans="1:1" x14ac:dyDescent="0.2">
      <c r="A3771" s="366"/>
    </row>
    <row r="3772" spans="1:1" x14ac:dyDescent="0.2">
      <c r="A3772" s="366"/>
    </row>
    <row r="3773" spans="1:1" x14ac:dyDescent="0.2">
      <c r="A3773" s="366"/>
    </row>
    <row r="3774" spans="1:1" x14ac:dyDescent="0.2">
      <c r="A3774" s="366"/>
    </row>
    <row r="3775" spans="1:1" x14ac:dyDescent="0.2">
      <c r="A3775" s="366"/>
    </row>
    <row r="3776" spans="1:1" x14ac:dyDescent="0.2">
      <c r="A3776" s="366"/>
    </row>
    <row r="3777" spans="1:1" x14ac:dyDescent="0.2">
      <c r="A3777" s="366"/>
    </row>
    <row r="3778" spans="1:1" x14ac:dyDescent="0.2">
      <c r="A3778" s="366"/>
    </row>
    <row r="3779" spans="1:1" x14ac:dyDescent="0.2">
      <c r="A3779" s="366"/>
    </row>
    <row r="3780" spans="1:1" x14ac:dyDescent="0.2">
      <c r="A3780" s="366"/>
    </row>
    <row r="3781" spans="1:1" x14ac:dyDescent="0.2">
      <c r="A3781" s="366"/>
    </row>
    <row r="3782" spans="1:1" x14ac:dyDescent="0.2">
      <c r="A3782" s="366"/>
    </row>
    <row r="3783" spans="1:1" x14ac:dyDescent="0.2">
      <c r="A3783" s="366"/>
    </row>
    <row r="3784" spans="1:1" x14ac:dyDescent="0.2">
      <c r="A3784" s="366"/>
    </row>
    <row r="3785" spans="1:1" x14ac:dyDescent="0.2">
      <c r="A3785" s="366"/>
    </row>
    <row r="3786" spans="1:1" x14ac:dyDescent="0.2">
      <c r="A3786" s="366"/>
    </row>
    <row r="3787" spans="1:1" x14ac:dyDescent="0.2">
      <c r="A3787" s="366"/>
    </row>
    <row r="3788" spans="1:1" x14ac:dyDescent="0.2">
      <c r="A3788" s="366"/>
    </row>
    <row r="3789" spans="1:1" x14ac:dyDescent="0.2">
      <c r="A3789" s="366"/>
    </row>
    <row r="3790" spans="1:1" x14ac:dyDescent="0.2">
      <c r="A3790" s="366"/>
    </row>
    <row r="3791" spans="1:1" x14ac:dyDescent="0.2">
      <c r="A3791" s="366"/>
    </row>
    <row r="3792" spans="1:1" x14ac:dyDescent="0.2">
      <c r="A3792" s="366"/>
    </row>
    <row r="3793" spans="1:1" x14ac:dyDescent="0.2">
      <c r="A3793" s="366"/>
    </row>
    <row r="3794" spans="1:1" x14ac:dyDescent="0.2">
      <c r="A3794" s="366"/>
    </row>
    <row r="3795" spans="1:1" x14ac:dyDescent="0.2">
      <c r="A3795" s="366"/>
    </row>
    <row r="3796" spans="1:1" x14ac:dyDescent="0.2">
      <c r="A3796" s="366"/>
    </row>
    <row r="3797" spans="1:1" x14ac:dyDescent="0.2">
      <c r="A3797" s="366"/>
    </row>
    <row r="3798" spans="1:1" x14ac:dyDescent="0.2">
      <c r="A3798" s="366"/>
    </row>
    <row r="3799" spans="1:1" x14ac:dyDescent="0.2">
      <c r="A3799" s="366"/>
    </row>
    <row r="3800" spans="1:1" x14ac:dyDescent="0.2">
      <c r="A3800" s="366"/>
    </row>
    <row r="3801" spans="1:1" x14ac:dyDescent="0.2">
      <c r="A3801" s="366"/>
    </row>
    <row r="3802" spans="1:1" x14ac:dyDescent="0.2">
      <c r="A3802" s="366"/>
    </row>
    <row r="3803" spans="1:1" x14ac:dyDescent="0.2">
      <c r="A3803" s="366"/>
    </row>
    <row r="3804" spans="1:1" x14ac:dyDescent="0.2">
      <c r="A3804" s="366"/>
    </row>
    <row r="3805" spans="1:1" x14ac:dyDescent="0.2">
      <c r="A3805" s="366"/>
    </row>
    <row r="3806" spans="1:1" x14ac:dyDescent="0.2">
      <c r="A3806" s="366"/>
    </row>
    <row r="3807" spans="1:1" x14ac:dyDescent="0.2">
      <c r="A3807" s="366"/>
    </row>
    <row r="3808" spans="1:1" x14ac:dyDescent="0.2">
      <c r="A3808" s="366"/>
    </row>
    <row r="3809" spans="1:1" x14ac:dyDescent="0.2">
      <c r="A3809" s="366"/>
    </row>
    <row r="3810" spans="1:1" x14ac:dyDescent="0.2">
      <c r="A3810" s="366"/>
    </row>
    <row r="3811" spans="1:1" x14ac:dyDescent="0.2">
      <c r="A3811" s="366"/>
    </row>
    <row r="3812" spans="1:1" x14ac:dyDescent="0.2">
      <c r="A3812" s="366"/>
    </row>
    <row r="3813" spans="1:1" x14ac:dyDescent="0.2">
      <c r="A3813" s="366"/>
    </row>
    <row r="3814" spans="1:1" x14ac:dyDescent="0.2">
      <c r="A3814" s="366"/>
    </row>
    <row r="3815" spans="1:1" x14ac:dyDescent="0.2">
      <c r="A3815" s="366"/>
    </row>
    <row r="3816" spans="1:1" x14ac:dyDescent="0.2">
      <c r="A3816" s="366"/>
    </row>
    <row r="3817" spans="1:1" x14ac:dyDescent="0.2">
      <c r="A3817" s="366"/>
    </row>
    <row r="3818" spans="1:1" x14ac:dyDescent="0.2">
      <c r="A3818" s="366"/>
    </row>
    <row r="3819" spans="1:1" x14ac:dyDescent="0.2">
      <c r="A3819" s="366"/>
    </row>
    <row r="3820" spans="1:1" x14ac:dyDescent="0.2">
      <c r="A3820" s="366"/>
    </row>
    <row r="3821" spans="1:1" x14ac:dyDescent="0.2">
      <c r="A3821" s="366"/>
    </row>
    <row r="3822" spans="1:1" x14ac:dyDescent="0.2">
      <c r="A3822" s="366"/>
    </row>
    <row r="3823" spans="1:1" x14ac:dyDescent="0.2">
      <c r="A3823" s="366"/>
    </row>
    <row r="3824" spans="1:1" x14ac:dyDescent="0.2">
      <c r="A3824" s="366"/>
    </row>
    <row r="3825" spans="1:1" x14ac:dyDescent="0.2">
      <c r="A3825" s="366"/>
    </row>
    <row r="3826" spans="1:1" x14ac:dyDescent="0.2">
      <c r="A3826" s="366"/>
    </row>
    <row r="3827" spans="1:1" x14ac:dyDescent="0.2">
      <c r="A3827" s="366"/>
    </row>
    <row r="3828" spans="1:1" x14ac:dyDescent="0.2">
      <c r="A3828" s="366"/>
    </row>
    <row r="3829" spans="1:1" x14ac:dyDescent="0.2">
      <c r="A3829" s="366"/>
    </row>
    <row r="3830" spans="1:1" x14ac:dyDescent="0.2">
      <c r="A3830" s="366"/>
    </row>
    <row r="3831" spans="1:1" x14ac:dyDescent="0.2">
      <c r="A3831" s="366"/>
    </row>
    <row r="3832" spans="1:1" x14ac:dyDescent="0.2">
      <c r="A3832" s="366"/>
    </row>
    <row r="3833" spans="1:1" x14ac:dyDescent="0.2">
      <c r="A3833" s="366"/>
    </row>
    <row r="3834" spans="1:1" x14ac:dyDescent="0.2">
      <c r="A3834" s="366"/>
    </row>
    <row r="3835" spans="1:1" x14ac:dyDescent="0.2">
      <c r="A3835" s="366"/>
    </row>
    <row r="3836" spans="1:1" x14ac:dyDescent="0.2">
      <c r="A3836" s="366"/>
    </row>
    <row r="3837" spans="1:1" x14ac:dyDescent="0.2">
      <c r="A3837" s="366"/>
    </row>
    <row r="3838" spans="1:1" x14ac:dyDescent="0.2">
      <c r="A3838" s="366"/>
    </row>
    <row r="3839" spans="1:1" x14ac:dyDescent="0.2">
      <c r="A3839" s="366"/>
    </row>
    <row r="3840" spans="1:1" x14ac:dyDescent="0.2">
      <c r="A3840" s="366"/>
    </row>
    <row r="3841" spans="1:1" x14ac:dyDescent="0.2">
      <c r="A3841" s="366"/>
    </row>
    <row r="3842" spans="1:1" x14ac:dyDescent="0.2">
      <c r="A3842" s="366"/>
    </row>
    <row r="3843" spans="1:1" x14ac:dyDescent="0.2">
      <c r="A3843" s="366"/>
    </row>
    <row r="3844" spans="1:1" x14ac:dyDescent="0.2">
      <c r="A3844" s="366"/>
    </row>
    <row r="3845" spans="1:1" x14ac:dyDescent="0.2">
      <c r="A3845" s="366"/>
    </row>
    <row r="3846" spans="1:1" x14ac:dyDescent="0.2">
      <c r="A3846" s="366"/>
    </row>
    <row r="3847" spans="1:1" x14ac:dyDescent="0.2">
      <c r="A3847" s="366"/>
    </row>
    <row r="3848" spans="1:1" x14ac:dyDescent="0.2">
      <c r="A3848" s="366"/>
    </row>
    <row r="3849" spans="1:1" x14ac:dyDescent="0.2">
      <c r="A3849" s="366"/>
    </row>
    <row r="3850" spans="1:1" x14ac:dyDescent="0.2">
      <c r="A3850" s="366"/>
    </row>
    <row r="3851" spans="1:1" x14ac:dyDescent="0.2">
      <c r="A3851" s="366"/>
    </row>
    <row r="3852" spans="1:1" x14ac:dyDescent="0.2">
      <c r="A3852" s="366"/>
    </row>
    <row r="3853" spans="1:1" x14ac:dyDescent="0.2">
      <c r="A3853" s="366"/>
    </row>
    <row r="3854" spans="1:1" x14ac:dyDescent="0.2">
      <c r="A3854" s="366"/>
    </row>
    <row r="3855" spans="1:1" x14ac:dyDescent="0.2">
      <c r="A3855" s="366"/>
    </row>
    <row r="3856" spans="1:1" x14ac:dyDescent="0.2">
      <c r="A3856" s="366"/>
    </row>
    <row r="3857" spans="1:1" x14ac:dyDescent="0.2">
      <c r="A3857" s="366"/>
    </row>
    <row r="3858" spans="1:1" x14ac:dyDescent="0.2">
      <c r="A3858" s="366"/>
    </row>
    <row r="3859" spans="1:1" x14ac:dyDescent="0.2">
      <c r="A3859" s="366"/>
    </row>
    <row r="3860" spans="1:1" x14ac:dyDescent="0.2">
      <c r="A3860" s="366"/>
    </row>
    <row r="3861" spans="1:1" x14ac:dyDescent="0.2">
      <c r="A3861" s="366"/>
    </row>
    <row r="3862" spans="1:1" x14ac:dyDescent="0.2">
      <c r="A3862" s="366"/>
    </row>
    <row r="3863" spans="1:1" x14ac:dyDescent="0.2">
      <c r="A3863" s="366"/>
    </row>
    <row r="3864" spans="1:1" x14ac:dyDescent="0.2">
      <c r="A3864" s="366"/>
    </row>
    <row r="3865" spans="1:1" x14ac:dyDescent="0.2">
      <c r="A3865" s="366"/>
    </row>
    <row r="3866" spans="1:1" x14ac:dyDescent="0.2">
      <c r="A3866" s="366"/>
    </row>
    <row r="3867" spans="1:1" x14ac:dyDescent="0.2">
      <c r="A3867" s="366"/>
    </row>
    <row r="3868" spans="1:1" x14ac:dyDescent="0.2">
      <c r="A3868" s="366"/>
    </row>
    <row r="3869" spans="1:1" x14ac:dyDescent="0.2">
      <c r="A3869" s="366"/>
    </row>
    <row r="3870" spans="1:1" x14ac:dyDescent="0.2">
      <c r="A3870" s="366"/>
    </row>
    <row r="3871" spans="1:1" x14ac:dyDescent="0.2">
      <c r="A3871" s="366"/>
    </row>
    <row r="3872" spans="1:1" x14ac:dyDescent="0.2">
      <c r="A3872" s="366"/>
    </row>
    <row r="3873" spans="1:1" x14ac:dyDescent="0.2">
      <c r="A3873" s="366"/>
    </row>
    <row r="3874" spans="1:1" x14ac:dyDescent="0.2">
      <c r="A3874" s="366"/>
    </row>
    <row r="3875" spans="1:1" x14ac:dyDescent="0.2">
      <c r="A3875" s="366"/>
    </row>
    <row r="3876" spans="1:1" x14ac:dyDescent="0.2">
      <c r="A3876" s="366"/>
    </row>
    <row r="3877" spans="1:1" x14ac:dyDescent="0.2">
      <c r="A3877" s="366"/>
    </row>
    <row r="3878" spans="1:1" x14ac:dyDescent="0.2">
      <c r="A3878" s="366"/>
    </row>
    <row r="3879" spans="1:1" x14ac:dyDescent="0.2">
      <c r="A3879" s="366"/>
    </row>
    <row r="3880" spans="1:1" x14ac:dyDescent="0.2">
      <c r="A3880" s="366"/>
    </row>
    <row r="3881" spans="1:1" x14ac:dyDescent="0.2">
      <c r="A3881" s="366"/>
    </row>
    <row r="3882" spans="1:1" x14ac:dyDescent="0.2">
      <c r="A3882" s="366"/>
    </row>
    <row r="3883" spans="1:1" x14ac:dyDescent="0.2">
      <c r="A3883" s="366"/>
    </row>
    <row r="3884" spans="1:1" x14ac:dyDescent="0.2">
      <c r="A3884" s="366"/>
    </row>
    <row r="3885" spans="1:1" x14ac:dyDescent="0.2">
      <c r="A3885" s="366"/>
    </row>
    <row r="3886" spans="1:1" x14ac:dyDescent="0.2">
      <c r="A3886" s="366"/>
    </row>
    <row r="3887" spans="1:1" x14ac:dyDescent="0.2">
      <c r="A3887" s="366"/>
    </row>
    <row r="3888" spans="1:1" x14ac:dyDescent="0.2">
      <c r="A3888" s="366"/>
    </row>
    <row r="3889" spans="1:1" x14ac:dyDescent="0.2">
      <c r="A3889" s="366"/>
    </row>
    <row r="3890" spans="1:1" x14ac:dyDescent="0.2">
      <c r="A3890" s="366"/>
    </row>
    <row r="3891" spans="1:1" x14ac:dyDescent="0.2">
      <c r="A3891" s="366"/>
    </row>
    <row r="3892" spans="1:1" x14ac:dyDescent="0.2">
      <c r="A3892" s="366"/>
    </row>
    <row r="3893" spans="1:1" x14ac:dyDescent="0.2">
      <c r="A3893" s="366"/>
    </row>
    <row r="3894" spans="1:1" x14ac:dyDescent="0.2">
      <c r="A3894" s="366"/>
    </row>
    <row r="3895" spans="1:1" x14ac:dyDescent="0.2">
      <c r="A3895" s="366"/>
    </row>
    <row r="3896" spans="1:1" x14ac:dyDescent="0.2">
      <c r="A3896" s="366"/>
    </row>
    <row r="3897" spans="1:1" x14ac:dyDescent="0.2">
      <c r="A3897" s="366"/>
    </row>
    <row r="3898" spans="1:1" x14ac:dyDescent="0.2">
      <c r="A3898" s="366"/>
    </row>
    <row r="3899" spans="1:1" x14ac:dyDescent="0.2">
      <c r="A3899" s="366"/>
    </row>
    <row r="3900" spans="1:1" x14ac:dyDescent="0.2">
      <c r="A3900" s="366"/>
    </row>
    <row r="3901" spans="1:1" x14ac:dyDescent="0.2">
      <c r="A3901" s="366"/>
    </row>
    <row r="3902" spans="1:1" x14ac:dyDescent="0.2">
      <c r="A3902" s="366"/>
    </row>
    <row r="3903" spans="1:1" x14ac:dyDescent="0.2">
      <c r="A3903" s="366"/>
    </row>
    <row r="3904" spans="1:1" x14ac:dyDescent="0.2">
      <c r="A3904" s="366"/>
    </row>
    <row r="3905" spans="1:1" x14ac:dyDescent="0.2">
      <c r="A3905" s="366"/>
    </row>
    <row r="3906" spans="1:1" x14ac:dyDescent="0.2">
      <c r="A3906" s="366"/>
    </row>
    <row r="3907" spans="1:1" x14ac:dyDescent="0.2">
      <c r="A3907" s="366"/>
    </row>
    <row r="3908" spans="1:1" x14ac:dyDescent="0.2">
      <c r="A3908" s="366"/>
    </row>
    <row r="3909" spans="1:1" x14ac:dyDescent="0.2">
      <c r="A3909" s="366"/>
    </row>
    <row r="3910" spans="1:1" x14ac:dyDescent="0.2">
      <c r="A3910" s="366"/>
    </row>
    <row r="3911" spans="1:1" x14ac:dyDescent="0.2">
      <c r="A3911" s="366"/>
    </row>
    <row r="3912" spans="1:1" x14ac:dyDescent="0.2">
      <c r="A3912" s="366"/>
    </row>
    <row r="3913" spans="1:1" x14ac:dyDescent="0.2">
      <c r="A3913" s="366"/>
    </row>
    <row r="3914" spans="1:1" x14ac:dyDescent="0.2">
      <c r="A3914" s="366"/>
    </row>
    <row r="3915" spans="1:1" x14ac:dyDescent="0.2">
      <c r="A3915" s="366"/>
    </row>
    <row r="3916" spans="1:1" x14ac:dyDescent="0.2">
      <c r="A3916" s="366"/>
    </row>
    <row r="3917" spans="1:1" x14ac:dyDescent="0.2">
      <c r="A3917" s="366"/>
    </row>
    <row r="3918" spans="1:1" x14ac:dyDescent="0.2">
      <c r="A3918" s="366"/>
    </row>
    <row r="3919" spans="1:1" x14ac:dyDescent="0.2">
      <c r="A3919" s="366"/>
    </row>
    <row r="3920" spans="1:1" x14ac:dyDescent="0.2">
      <c r="A3920" s="366"/>
    </row>
    <row r="3921" spans="1:1" x14ac:dyDescent="0.2">
      <c r="A3921" s="366"/>
    </row>
    <row r="3922" spans="1:1" x14ac:dyDescent="0.2">
      <c r="A3922" s="366"/>
    </row>
    <row r="3923" spans="1:1" x14ac:dyDescent="0.2">
      <c r="A3923" s="366"/>
    </row>
    <row r="3924" spans="1:1" x14ac:dyDescent="0.2">
      <c r="A3924" s="366"/>
    </row>
    <row r="3925" spans="1:1" x14ac:dyDescent="0.2">
      <c r="A3925" s="366"/>
    </row>
    <row r="3926" spans="1:1" x14ac:dyDescent="0.2">
      <c r="A3926" s="366"/>
    </row>
    <row r="3927" spans="1:1" x14ac:dyDescent="0.2">
      <c r="A3927" s="366"/>
    </row>
    <row r="3928" spans="1:1" x14ac:dyDescent="0.2">
      <c r="A3928" s="366"/>
    </row>
    <row r="3929" spans="1:1" x14ac:dyDescent="0.2">
      <c r="A3929" s="366"/>
    </row>
    <row r="3930" spans="1:1" x14ac:dyDescent="0.2">
      <c r="A3930" s="366"/>
    </row>
    <row r="3931" spans="1:1" x14ac:dyDescent="0.2">
      <c r="A3931" s="366"/>
    </row>
    <row r="3932" spans="1:1" x14ac:dyDescent="0.2">
      <c r="A3932" s="366"/>
    </row>
    <row r="3933" spans="1:1" x14ac:dyDescent="0.2">
      <c r="A3933" s="366"/>
    </row>
    <row r="3934" spans="1:1" x14ac:dyDescent="0.2">
      <c r="A3934" s="366"/>
    </row>
    <row r="3935" spans="1:1" x14ac:dyDescent="0.2">
      <c r="A3935" s="366"/>
    </row>
    <row r="3936" spans="1:1" x14ac:dyDescent="0.2">
      <c r="A3936" s="366"/>
    </row>
    <row r="3937" spans="1:1" x14ac:dyDescent="0.2">
      <c r="A3937" s="366"/>
    </row>
    <row r="3938" spans="1:1" x14ac:dyDescent="0.2">
      <c r="A3938" s="366"/>
    </row>
    <row r="3939" spans="1:1" x14ac:dyDescent="0.2">
      <c r="A3939" s="366"/>
    </row>
    <row r="3940" spans="1:1" x14ac:dyDescent="0.2">
      <c r="A3940" s="366"/>
    </row>
    <row r="3941" spans="1:1" x14ac:dyDescent="0.2">
      <c r="A3941" s="366"/>
    </row>
    <row r="3942" spans="1:1" x14ac:dyDescent="0.2">
      <c r="A3942" s="366"/>
    </row>
    <row r="3943" spans="1:1" x14ac:dyDescent="0.2">
      <c r="A3943" s="366"/>
    </row>
    <row r="3944" spans="1:1" x14ac:dyDescent="0.2">
      <c r="A3944" s="366"/>
    </row>
    <row r="3945" spans="1:1" x14ac:dyDescent="0.2">
      <c r="A3945" s="366"/>
    </row>
    <row r="3946" spans="1:1" x14ac:dyDescent="0.2">
      <c r="A3946" s="366"/>
    </row>
    <row r="3947" spans="1:1" x14ac:dyDescent="0.2">
      <c r="A3947" s="366"/>
    </row>
    <row r="3948" spans="1:1" x14ac:dyDescent="0.2">
      <c r="A3948" s="366"/>
    </row>
    <row r="3949" spans="1:1" x14ac:dyDescent="0.2">
      <c r="A3949" s="366"/>
    </row>
    <row r="3950" spans="1:1" x14ac:dyDescent="0.2">
      <c r="A3950" s="366"/>
    </row>
    <row r="3951" spans="1:1" x14ac:dyDescent="0.2">
      <c r="A3951" s="366"/>
    </row>
    <row r="3952" spans="1:1" x14ac:dyDescent="0.2">
      <c r="A3952" s="366"/>
    </row>
    <row r="3953" spans="1:1" x14ac:dyDescent="0.2">
      <c r="A3953" s="366"/>
    </row>
    <row r="3954" spans="1:1" x14ac:dyDescent="0.2">
      <c r="A3954" s="366"/>
    </row>
    <row r="3955" spans="1:1" x14ac:dyDescent="0.2">
      <c r="A3955" s="366"/>
    </row>
    <row r="3956" spans="1:1" x14ac:dyDescent="0.2">
      <c r="A3956" s="366"/>
    </row>
    <row r="3957" spans="1:1" x14ac:dyDescent="0.2">
      <c r="A3957" s="366"/>
    </row>
    <row r="3958" spans="1:1" x14ac:dyDescent="0.2">
      <c r="A3958" s="366"/>
    </row>
    <row r="3959" spans="1:1" x14ac:dyDescent="0.2">
      <c r="A3959" s="366"/>
    </row>
    <row r="3960" spans="1:1" x14ac:dyDescent="0.2">
      <c r="A3960" s="366"/>
    </row>
    <row r="3961" spans="1:1" x14ac:dyDescent="0.2">
      <c r="A3961" s="366"/>
    </row>
    <row r="3962" spans="1:1" x14ac:dyDescent="0.2">
      <c r="A3962" s="366"/>
    </row>
    <row r="3963" spans="1:1" x14ac:dyDescent="0.2">
      <c r="A3963" s="366"/>
    </row>
    <row r="3964" spans="1:1" x14ac:dyDescent="0.2">
      <c r="A3964" s="366"/>
    </row>
    <row r="3965" spans="1:1" x14ac:dyDescent="0.2">
      <c r="A3965" s="366"/>
    </row>
    <row r="3966" spans="1:1" x14ac:dyDescent="0.2">
      <c r="A3966" s="366"/>
    </row>
    <row r="3967" spans="1:1" x14ac:dyDescent="0.2">
      <c r="A3967" s="366"/>
    </row>
    <row r="3968" spans="1:1" x14ac:dyDescent="0.2">
      <c r="A3968" s="366"/>
    </row>
    <row r="3969" spans="1:1" x14ac:dyDescent="0.2">
      <c r="A3969" s="366"/>
    </row>
    <row r="3970" spans="1:1" x14ac:dyDescent="0.2">
      <c r="A3970" s="366"/>
    </row>
    <row r="3971" spans="1:1" x14ac:dyDescent="0.2">
      <c r="A3971" s="366"/>
    </row>
    <row r="3972" spans="1:1" x14ac:dyDescent="0.2">
      <c r="A3972" s="366"/>
    </row>
    <row r="3973" spans="1:1" x14ac:dyDescent="0.2">
      <c r="A3973" s="366"/>
    </row>
    <row r="3974" spans="1:1" x14ac:dyDescent="0.2">
      <c r="A3974" s="366"/>
    </row>
    <row r="3975" spans="1:1" x14ac:dyDescent="0.2">
      <c r="A3975" s="366"/>
    </row>
    <row r="3976" spans="1:1" x14ac:dyDescent="0.2">
      <c r="A3976" s="366"/>
    </row>
    <row r="3977" spans="1:1" x14ac:dyDescent="0.2">
      <c r="A3977" s="366"/>
    </row>
    <row r="3978" spans="1:1" x14ac:dyDescent="0.2">
      <c r="A3978" s="366"/>
    </row>
    <row r="3979" spans="1:1" x14ac:dyDescent="0.2">
      <c r="A3979" s="366"/>
    </row>
    <row r="3980" spans="1:1" x14ac:dyDescent="0.2">
      <c r="A3980" s="366"/>
    </row>
    <row r="3981" spans="1:1" x14ac:dyDescent="0.2">
      <c r="A3981" s="366"/>
    </row>
    <row r="3982" spans="1:1" x14ac:dyDescent="0.2">
      <c r="A3982" s="366"/>
    </row>
    <row r="3983" spans="1:1" x14ac:dyDescent="0.2">
      <c r="A3983" s="366"/>
    </row>
    <row r="3984" spans="1:1" x14ac:dyDescent="0.2">
      <c r="A3984" s="366"/>
    </row>
    <row r="3985" spans="1:1" x14ac:dyDescent="0.2">
      <c r="A3985" s="366"/>
    </row>
    <row r="3986" spans="1:1" x14ac:dyDescent="0.2">
      <c r="A3986" s="366"/>
    </row>
    <row r="3987" spans="1:1" x14ac:dyDescent="0.2">
      <c r="A3987" s="366"/>
    </row>
    <row r="3988" spans="1:1" x14ac:dyDescent="0.2">
      <c r="A3988" s="366"/>
    </row>
    <row r="3989" spans="1:1" x14ac:dyDescent="0.2">
      <c r="A3989" s="366"/>
    </row>
    <row r="3990" spans="1:1" x14ac:dyDescent="0.2">
      <c r="A3990" s="366"/>
    </row>
    <row r="3991" spans="1:1" x14ac:dyDescent="0.2">
      <c r="A3991" s="366"/>
    </row>
    <row r="3992" spans="1:1" x14ac:dyDescent="0.2">
      <c r="A3992" s="366"/>
    </row>
    <row r="3993" spans="1:1" x14ac:dyDescent="0.2">
      <c r="A3993" s="366"/>
    </row>
    <row r="3994" spans="1:1" x14ac:dyDescent="0.2">
      <c r="A3994" s="366"/>
    </row>
    <row r="3995" spans="1:1" x14ac:dyDescent="0.2">
      <c r="A3995" s="366"/>
    </row>
    <row r="3996" spans="1:1" x14ac:dyDescent="0.2">
      <c r="A3996" s="366"/>
    </row>
    <row r="3997" spans="1:1" x14ac:dyDescent="0.2">
      <c r="A3997" s="366"/>
    </row>
    <row r="3998" spans="1:1" x14ac:dyDescent="0.2">
      <c r="A3998" s="366"/>
    </row>
    <row r="3999" spans="1:1" x14ac:dyDescent="0.2">
      <c r="A3999" s="366"/>
    </row>
    <row r="4000" spans="1:1" x14ac:dyDescent="0.2">
      <c r="A4000" s="366"/>
    </row>
    <row r="4001" spans="1:1" x14ac:dyDescent="0.2">
      <c r="A4001" s="366"/>
    </row>
    <row r="4002" spans="1:1" x14ac:dyDescent="0.2">
      <c r="A4002" s="366"/>
    </row>
    <row r="4003" spans="1:1" x14ac:dyDescent="0.2">
      <c r="A4003" s="366"/>
    </row>
    <row r="4004" spans="1:1" x14ac:dyDescent="0.2">
      <c r="A4004" s="366"/>
    </row>
    <row r="4005" spans="1:1" x14ac:dyDescent="0.2">
      <c r="A4005" s="366"/>
    </row>
    <row r="4006" spans="1:1" x14ac:dyDescent="0.2">
      <c r="A4006" s="366"/>
    </row>
    <row r="4007" spans="1:1" x14ac:dyDescent="0.2">
      <c r="A4007" s="366"/>
    </row>
    <row r="4008" spans="1:1" x14ac:dyDescent="0.2">
      <c r="A4008" s="366"/>
    </row>
    <row r="4009" spans="1:1" x14ac:dyDescent="0.2">
      <c r="A4009" s="366"/>
    </row>
    <row r="4010" spans="1:1" x14ac:dyDescent="0.2">
      <c r="A4010" s="366"/>
    </row>
    <row r="4011" spans="1:1" x14ac:dyDescent="0.2">
      <c r="A4011" s="366"/>
    </row>
    <row r="4012" spans="1:1" x14ac:dyDescent="0.2">
      <c r="A4012" s="366"/>
    </row>
    <row r="4013" spans="1:1" x14ac:dyDescent="0.2">
      <c r="A4013" s="366"/>
    </row>
    <row r="4014" spans="1:1" x14ac:dyDescent="0.2">
      <c r="A4014" s="366"/>
    </row>
    <row r="4015" spans="1:1" x14ac:dyDescent="0.2">
      <c r="A4015" s="366"/>
    </row>
    <row r="4016" spans="1:1" x14ac:dyDescent="0.2">
      <c r="A4016" s="366"/>
    </row>
    <row r="4017" spans="1:1" x14ac:dyDescent="0.2">
      <c r="A4017" s="366"/>
    </row>
    <row r="4018" spans="1:1" x14ac:dyDescent="0.2">
      <c r="A4018" s="366"/>
    </row>
    <row r="4019" spans="1:1" x14ac:dyDescent="0.2">
      <c r="A4019" s="366"/>
    </row>
    <row r="4020" spans="1:1" x14ac:dyDescent="0.2">
      <c r="A4020" s="366"/>
    </row>
    <row r="4021" spans="1:1" x14ac:dyDescent="0.2">
      <c r="A4021" s="366"/>
    </row>
    <row r="4022" spans="1:1" x14ac:dyDescent="0.2">
      <c r="A4022" s="366"/>
    </row>
    <row r="4023" spans="1:1" x14ac:dyDescent="0.2">
      <c r="A4023" s="366"/>
    </row>
    <row r="4024" spans="1:1" x14ac:dyDescent="0.2">
      <c r="A4024" s="366"/>
    </row>
    <row r="4025" spans="1:1" x14ac:dyDescent="0.2">
      <c r="A4025" s="366"/>
    </row>
    <row r="4026" spans="1:1" x14ac:dyDescent="0.2">
      <c r="A4026" s="366"/>
    </row>
    <row r="4027" spans="1:1" x14ac:dyDescent="0.2">
      <c r="A4027" s="366"/>
    </row>
    <row r="4028" spans="1:1" x14ac:dyDescent="0.2">
      <c r="A4028" s="366"/>
    </row>
    <row r="4029" spans="1:1" x14ac:dyDescent="0.2">
      <c r="A4029" s="366"/>
    </row>
    <row r="4030" spans="1:1" x14ac:dyDescent="0.2">
      <c r="A4030" s="366"/>
    </row>
    <row r="4031" spans="1:1" x14ac:dyDescent="0.2">
      <c r="A4031" s="366"/>
    </row>
    <row r="4032" spans="1:1" x14ac:dyDescent="0.2">
      <c r="A4032" s="366"/>
    </row>
    <row r="4033" spans="1:1" x14ac:dyDescent="0.2">
      <c r="A4033" s="366"/>
    </row>
    <row r="4034" spans="1:1" x14ac:dyDescent="0.2">
      <c r="A4034" s="366"/>
    </row>
    <row r="4035" spans="1:1" x14ac:dyDescent="0.2">
      <c r="A4035" s="366"/>
    </row>
    <row r="4036" spans="1:1" x14ac:dyDescent="0.2">
      <c r="A4036" s="366"/>
    </row>
    <row r="4037" spans="1:1" x14ac:dyDescent="0.2">
      <c r="A4037" s="366"/>
    </row>
    <row r="4038" spans="1:1" x14ac:dyDescent="0.2">
      <c r="A4038" s="366"/>
    </row>
    <row r="4039" spans="1:1" x14ac:dyDescent="0.2">
      <c r="A4039" s="366"/>
    </row>
    <row r="4040" spans="1:1" x14ac:dyDescent="0.2">
      <c r="A4040" s="366"/>
    </row>
    <row r="4041" spans="1:1" x14ac:dyDescent="0.2">
      <c r="A4041" s="366"/>
    </row>
    <row r="4042" spans="1:1" x14ac:dyDescent="0.2">
      <c r="A4042" s="366"/>
    </row>
    <row r="4043" spans="1:1" x14ac:dyDescent="0.2">
      <c r="A4043" s="366"/>
    </row>
    <row r="4044" spans="1:1" x14ac:dyDescent="0.2">
      <c r="A4044" s="366"/>
    </row>
    <row r="4045" spans="1:1" x14ac:dyDescent="0.2">
      <c r="A4045" s="366"/>
    </row>
    <row r="4046" spans="1:1" x14ac:dyDescent="0.2">
      <c r="A4046" s="366"/>
    </row>
    <row r="4047" spans="1:1" x14ac:dyDescent="0.2">
      <c r="A4047" s="366"/>
    </row>
    <row r="4048" spans="1:1" x14ac:dyDescent="0.2">
      <c r="A4048" s="366"/>
    </row>
    <row r="4049" spans="1:1" x14ac:dyDescent="0.2">
      <c r="A4049" s="366"/>
    </row>
    <row r="4050" spans="1:1" x14ac:dyDescent="0.2">
      <c r="A4050" s="366"/>
    </row>
    <row r="4051" spans="1:1" x14ac:dyDescent="0.2">
      <c r="A4051" s="366"/>
    </row>
    <row r="4052" spans="1:1" x14ac:dyDescent="0.2">
      <c r="A4052" s="366"/>
    </row>
    <row r="4053" spans="1:1" x14ac:dyDescent="0.2">
      <c r="A4053" s="366"/>
    </row>
    <row r="4054" spans="1:1" x14ac:dyDescent="0.2">
      <c r="A4054" s="366"/>
    </row>
    <row r="4055" spans="1:1" x14ac:dyDescent="0.2">
      <c r="A4055" s="366"/>
    </row>
    <row r="4056" spans="1:1" x14ac:dyDescent="0.2">
      <c r="A4056" s="366"/>
    </row>
    <row r="4057" spans="1:1" x14ac:dyDescent="0.2">
      <c r="A4057" s="366"/>
    </row>
    <row r="4058" spans="1:1" x14ac:dyDescent="0.2">
      <c r="A4058" s="366"/>
    </row>
    <row r="4059" spans="1:1" x14ac:dyDescent="0.2">
      <c r="A4059" s="366"/>
    </row>
    <row r="4060" spans="1:1" x14ac:dyDescent="0.2">
      <c r="A4060" s="366"/>
    </row>
    <row r="4061" spans="1:1" x14ac:dyDescent="0.2">
      <c r="A4061" s="366"/>
    </row>
    <row r="4062" spans="1:1" x14ac:dyDescent="0.2">
      <c r="A4062" s="366"/>
    </row>
    <row r="4063" spans="1:1" x14ac:dyDescent="0.2">
      <c r="A4063" s="366"/>
    </row>
    <row r="4064" spans="1:1" x14ac:dyDescent="0.2">
      <c r="A4064" s="366"/>
    </row>
    <row r="4065" spans="1:1" x14ac:dyDescent="0.2">
      <c r="A4065" s="366"/>
    </row>
    <row r="4066" spans="1:1" x14ac:dyDescent="0.2">
      <c r="A4066" s="366"/>
    </row>
    <row r="4067" spans="1:1" x14ac:dyDescent="0.2">
      <c r="A4067" s="366"/>
    </row>
    <row r="4068" spans="1:1" x14ac:dyDescent="0.2">
      <c r="A4068" s="366"/>
    </row>
    <row r="4069" spans="1:1" x14ac:dyDescent="0.2">
      <c r="A4069" s="366"/>
    </row>
    <row r="4070" spans="1:1" x14ac:dyDescent="0.2">
      <c r="A4070" s="366"/>
    </row>
    <row r="4071" spans="1:1" x14ac:dyDescent="0.2">
      <c r="A4071" s="366"/>
    </row>
    <row r="4072" spans="1:1" x14ac:dyDescent="0.2">
      <c r="A4072" s="366"/>
    </row>
    <row r="4073" spans="1:1" x14ac:dyDescent="0.2">
      <c r="A4073" s="366"/>
    </row>
    <row r="4074" spans="1:1" x14ac:dyDescent="0.2">
      <c r="A4074" s="366"/>
    </row>
    <row r="4075" spans="1:1" x14ac:dyDescent="0.2">
      <c r="A4075" s="366"/>
    </row>
    <row r="4076" spans="1:1" x14ac:dyDescent="0.2">
      <c r="A4076" s="366"/>
    </row>
    <row r="4077" spans="1:1" x14ac:dyDescent="0.2">
      <c r="A4077" s="366"/>
    </row>
    <row r="4078" spans="1:1" x14ac:dyDescent="0.2">
      <c r="A4078" s="366"/>
    </row>
    <row r="4079" spans="1:1" x14ac:dyDescent="0.2">
      <c r="A4079" s="366"/>
    </row>
    <row r="4080" spans="1:1" x14ac:dyDescent="0.2">
      <c r="A4080" s="366"/>
    </row>
    <row r="4081" spans="1:1" x14ac:dyDescent="0.2">
      <c r="A4081" s="366"/>
    </row>
    <row r="4082" spans="1:1" x14ac:dyDescent="0.2">
      <c r="A4082" s="366"/>
    </row>
    <row r="4083" spans="1:1" x14ac:dyDescent="0.2">
      <c r="A4083" s="366"/>
    </row>
    <row r="4084" spans="1:1" x14ac:dyDescent="0.2">
      <c r="A4084" s="366"/>
    </row>
    <row r="4085" spans="1:1" x14ac:dyDescent="0.2">
      <c r="A4085" s="366"/>
    </row>
    <row r="4086" spans="1:1" x14ac:dyDescent="0.2">
      <c r="A4086" s="366"/>
    </row>
    <row r="4087" spans="1:1" x14ac:dyDescent="0.2">
      <c r="A4087" s="366"/>
    </row>
    <row r="4088" spans="1:1" x14ac:dyDescent="0.2">
      <c r="A4088" s="366"/>
    </row>
    <row r="4089" spans="1:1" x14ac:dyDescent="0.2">
      <c r="A4089" s="366"/>
    </row>
    <row r="4090" spans="1:1" x14ac:dyDescent="0.2">
      <c r="A4090" s="366"/>
    </row>
    <row r="4091" spans="1:1" x14ac:dyDescent="0.2">
      <c r="A4091" s="366"/>
    </row>
    <row r="4092" spans="1:1" x14ac:dyDescent="0.2">
      <c r="A4092" s="366"/>
    </row>
    <row r="4093" spans="1:1" x14ac:dyDescent="0.2">
      <c r="A4093" s="366"/>
    </row>
    <row r="4094" spans="1:1" x14ac:dyDescent="0.2">
      <c r="A4094" s="366"/>
    </row>
    <row r="4095" spans="1:1" x14ac:dyDescent="0.2">
      <c r="A4095" s="366"/>
    </row>
    <row r="4096" spans="1:1" x14ac:dyDescent="0.2">
      <c r="A4096" s="366"/>
    </row>
    <row r="4097" spans="1:1" x14ac:dyDescent="0.2">
      <c r="A4097" s="366"/>
    </row>
    <row r="4098" spans="1:1" x14ac:dyDescent="0.2">
      <c r="A4098" s="366"/>
    </row>
    <row r="4099" spans="1:1" x14ac:dyDescent="0.2">
      <c r="A4099" s="366"/>
    </row>
    <row r="4100" spans="1:1" x14ac:dyDescent="0.2">
      <c r="A4100" s="366"/>
    </row>
    <row r="4101" spans="1:1" x14ac:dyDescent="0.2">
      <c r="A4101" s="366"/>
    </row>
    <row r="4102" spans="1:1" x14ac:dyDescent="0.2">
      <c r="A4102" s="366"/>
    </row>
    <row r="4103" spans="1:1" x14ac:dyDescent="0.2">
      <c r="A4103" s="366"/>
    </row>
    <row r="4104" spans="1:1" x14ac:dyDescent="0.2">
      <c r="A4104" s="366"/>
    </row>
    <row r="4105" spans="1:1" x14ac:dyDescent="0.2">
      <c r="A4105" s="366"/>
    </row>
    <row r="4106" spans="1:1" x14ac:dyDescent="0.2">
      <c r="A4106" s="366"/>
    </row>
    <row r="4107" spans="1:1" x14ac:dyDescent="0.2">
      <c r="A4107" s="366"/>
    </row>
    <row r="4108" spans="1:1" x14ac:dyDescent="0.2">
      <c r="A4108" s="366"/>
    </row>
    <row r="4109" spans="1:1" x14ac:dyDescent="0.2">
      <c r="A4109" s="366"/>
    </row>
    <row r="4110" spans="1:1" x14ac:dyDescent="0.2">
      <c r="A4110" s="366"/>
    </row>
    <row r="4111" spans="1:1" x14ac:dyDescent="0.2">
      <c r="A4111" s="366"/>
    </row>
    <row r="4112" spans="1:1" x14ac:dyDescent="0.2">
      <c r="A4112" s="366"/>
    </row>
    <row r="4113" spans="1:1" x14ac:dyDescent="0.2">
      <c r="A4113" s="366"/>
    </row>
    <row r="4114" spans="1:1" x14ac:dyDescent="0.2">
      <c r="A4114" s="366"/>
    </row>
    <row r="4115" spans="1:1" x14ac:dyDescent="0.2">
      <c r="A4115" s="366"/>
    </row>
    <row r="4116" spans="1:1" x14ac:dyDescent="0.2">
      <c r="A4116" s="366"/>
    </row>
    <row r="4117" spans="1:1" x14ac:dyDescent="0.2">
      <c r="A4117" s="366"/>
    </row>
    <row r="4118" spans="1:1" x14ac:dyDescent="0.2">
      <c r="A4118" s="366"/>
    </row>
    <row r="4119" spans="1:1" x14ac:dyDescent="0.2">
      <c r="A4119" s="366"/>
    </row>
    <row r="4120" spans="1:1" x14ac:dyDescent="0.2">
      <c r="A4120" s="366"/>
    </row>
    <row r="4121" spans="1:1" x14ac:dyDescent="0.2">
      <c r="A4121" s="366"/>
    </row>
    <row r="4122" spans="1:1" x14ac:dyDescent="0.2">
      <c r="A4122" s="366"/>
    </row>
    <row r="4123" spans="1:1" x14ac:dyDescent="0.2">
      <c r="A4123" s="366"/>
    </row>
    <row r="4124" spans="1:1" x14ac:dyDescent="0.2">
      <c r="A4124" s="366"/>
    </row>
    <row r="4125" spans="1:1" x14ac:dyDescent="0.2">
      <c r="A4125" s="366"/>
    </row>
    <row r="4126" spans="1:1" x14ac:dyDescent="0.2">
      <c r="A4126" s="366"/>
    </row>
    <row r="4127" spans="1:1" x14ac:dyDescent="0.2">
      <c r="A4127" s="366"/>
    </row>
    <row r="4128" spans="1:1" x14ac:dyDescent="0.2">
      <c r="A4128" s="366"/>
    </row>
    <row r="4129" spans="1:1" x14ac:dyDescent="0.2">
      <c r="A4129" s="366"/>
    </row>
    <row r="4130" spans="1:1" x14ac:dyDescent="0.2">
      <c r="A4130" s="366"/>
    </row>
    <row r="4131" spans="1:1" x14ac:dyDescent="0.2">
      <c r="A4131" s="366"/>
    </row>
    <row r="4132" spans="1:1" x14ac:dyDescent="0.2">
      <c r="A4132" s="366"/>
    </row>
    <row r="4133" spans="1:1" x14ac:dyDescent="0.2">
      <c r="A4133" s="366"/>
    </row>
    <row r="4134" spans="1:1" x14ac:dyDescent="0.2">
      <c r="A4134" s="366"/>
    </row>
    <row r="4135" spans="1:1" x14ac:dyDescent="0.2">
      <c r="A4135" s="366"/>
    </row>
    <row r="4136" spans="1:1" x14ac:dyDescent="0.2">
      <c r="A4136" s="366"/>
    </row>
    <row r="4137" spans="1:1" x14ac:dyDescent="0.2">
      <c r="A4137" s="366"/>
    </row>
    <row r="4138" spans="1:1" x14ac:dyDescent="0.2">
      <c r="A4138" s="366"/>
    </row>
    <row r="4139" spans="1:1" x14ac:dyDescent="0.2">
      <c r="A4139" s="366"/>
    </row>
    <row r="4140" spans="1:1" x14ac:dyDescent="0.2">
      <c r="A4140" s="366"/>
    </row>
    <row r="4141" spans="1:1" x14ac:dyDescent="0.2">
      <c r="A4141" s="366"/>
    </row>
    <row r="4142" spans="1:1" x14ac:dyDescent="0.2">
      <c r="A4142" s="366"/>
    </row>
    <row r="4143" spans="1:1" x14ac:dyDescent="0.2">
      <c r="A4143" s="366"/>
    </row>
    <row r="4144" spans="1:1" x14ac:dyDescent="0.2">
      <c r="A4144" s="366"/>
    </row>
    <row r="4145" spans="1:1" x14ac:dyDescent="0.2">
      <c r="A4145" s="366"/>
    </row>
    <row r="4146" spans="1:1" x14ac:dyDescent="0.2">
      <c r="A4146" s="366"/>
    </row>
    <row r="4147" spans="1:1" x14ac:dyDescent="0.2">
      <c r="A4147" s="366"/>
    </row>
    <row r="4148" spans="1:1" x14ac:dyDescent="0.2">
      <c r="A4148" s="366"/>
    </row>
    <row r="4149" spans="1:1" x14ac:dyDescent="0.2">
      <c r="A4149" s="366"/>
    </row>
    <row r="4150" spans="1:1" x14ac:dyDescent="0.2">
      <c r="A4150" s="366"/>
    </row>
    <row r="4151" spans="1:1" x14ac:dyDescent="0.2">
      <c r="A4151" s="366"/>
    </row>
    <row r="4152" spans="1:1" x14ac:dyDescent="0.2">
      <c r="A4152" s="366"/>
    </row>
    <row r="4153" spans="1:1" x14ac:dyDescent="0.2">
      <c r="A4153" s="366"/>
    </row>
    <row r="4154" spans="1:1" x14ac:dyDescent="0.2">
      <c r="A4154" s="366"/>
    </row>
    <row r="4155" spans="1:1" x14ac:dyDescent="0.2">
      <c r="A4155" s="366"/>
    </row>
    <row r="4156" spans="1:1" x14ac:dyDescent="0.2">
      <c r="A4156" s="366"/>
    </row>
    <row r="4157" spans="1:1" x14ac:dyDescent="0.2">
      <c r="A4157" s="366"/>
    </row>
    <row r="4158" spans="1:1" x14ac:dyDescent="0.2">
      <c r="A4158" s="366"/>
    </row>
    <row r="4159" spans="1:1" x14ac:dyDescent="0.2">
      <c r="A4159" s="366"/>
    </row>
    <row r="4160" spans="1:1" x14ac:dyDescent="0.2">
      <c r="A4160" s="366"/>
    </row>
    <row r="4161" spans="1:1" x14ac:dyDescent="0.2">
      <c r="A4161" s="366"/>
    </row>
    <row r="4162" spans="1:1" x14ac:dyDescent="0.2">
      <c r="A4162" s="366"/>
    </row>
    <row r="4163" spans="1:1" x14ac:dyDescent="0.2">
      <c r="A4163" s="366"/>
    </row>
    <row r="4164" spans="1:1" x14ac:dyDescent="0.2">
      <c r="A4164" s="366"/>
    </row>
    <row r="4165" spans="1:1" x14ac:dyDescent="0.2">
      <c r="A4165" s="366"/>
    </row>
    <row r="4166" spans="1:1" x14ac:dyDescent="0.2">
      <c r="A4166" s="366"/>
    </row>
    <row r="4167" spans="1:1" x14ac:dyDescent="0.2">
      <c r="A4167" s="366"/>
    </row>
    <row r="4168" spans="1:1" x14ac:dyDescent="0.2">
      <c r="A4168" s="366"/>
    </row>
    <row r="4169" spans="1:1" x14ac:dyDescent="0.2">
      <c r="A4169" s="366"/>
    </row>
    <row r="4170" spans="1:1" x14ac:dyDescent="0.2">
      <c r="A4170" s="366"/>
    </row>
    <row r="4171" spans="1:1" x14ac:dyDescent="0.2">
      <c r="A4171" s="366"/>
    </row>
    <row r="4172" spans="1:1" x14ac:dyDescent="0.2">
      <c r="A4172" s="366"/>
    </row>
    <row r="4173" spans="1:1" x14ac:dyDescent="0.2">
      <c r="A4173" s="366"/>
    </row>
    <row r="4174" spans="1:1" x14ac:dyDescent="0.2">
      <c r="A4174" s="366"/>
    </row>
    <row r="4175" spans="1:1" x14ac:dyDescent="0.2">
      <c r="A4175" s="366"/>
    </row>
    <row r="4176" spans="1:1" x14ac:dyDescent="0.2">
      <c r="A4176" s="366"/>
    </row>
    <row r="4177" spans="1:1" x14ac:dyDescent="0.2">
      <c r="A4177" s="366"/>
    </row>
    <row r="4178" spans="1:1" x14ac:dyDescent="0.2">
      <c r="A4178" s="366"/>
    </row>
    <row r="4179" spans="1:1" x14ac:dyDescent="0.2">
      <c r="A4179" s="366"/>
    </row>
    <row r="4180" spans="1:1" x14ac:dyDescent="0.2">
      <c r="A4180" s="366"/>
    </row>
    <row r="4181" spans="1:1" x14ac:dyDescent="0.2">
      <c r="A4181" s="366"/>
    </row>
    <row r="4182" spans="1:1" x14ac:dyDescent="0.2">
      <c r="A4182" s="366"/>
    </row>
    <row r="4183" spans="1:1" x14ac:dyDescent="0.2">
      <c r="A4183" s="366"/>
    </row>
    <row r="4184" spans="1:1" x14ac:dyDescent="0.2">
      <c r="A4184" s="366"/>
    </row>
    <row r="4185" spans="1:1" x14ac:dyDescent="0.2">
      <c r="A4185" s="366"/>
    </row>
    <row r="4186" spans="1:1" x14ac:dyDescent="0.2">
      <c r="A4186" s="366"/>
    </row>
    <row r="4187" spans="1:1" x14ac:dyDescent="0.2">
      <c r="A4187" s="366"/>
    </row>
    <row r="4188" spans="1:1" x14ac:dyDescent="0.2">
      <c r="A4188" s="366"/>
    </row>
    <row r="4189" spans="1:1" x14ac:dyDescent="0.2">
      <c r="A4189" s="366"/>
    </row>
    <row r="4190" spans="1:1" x14ac:dyDescent="0.2">
      <c r="A4190" s="366"/>
    </row>
    <row r="4191" spans="1:1" x14ac:dyDescent="0.2">
      <c r="A4191" s="366"/>
    </row>
    <row r="4192" spans="1:1" x14ac:dyDescent="0.2">
      <c r="A4192" s="366"/>
    </row>
    <row r="4193" spans="1:1" x14ac:dyDescent="0.2">
      <c r="A4193" s="366"/>
    </row>
    <row r="4194" spans="1:1" x14ac:dyDescent="0.2">
      <c r="A4194" s="366"/>
    </row>
    <row r="4195" spans="1:1" x14ac:dyDescent="0.2">
      <c r="A4195" s="366"/>
    </row>
    <row r="4196" spans="1:1" x14ac:dyDescent="0.2">
      <c r="A4196" s="366"/>
    </row>
    <row r="4197" spans="1:1" x14ac:dyDescent="0.2">
      <c r="A4197" s="366"/>
    </row>
    <row r="4198" spans="1:1" x14ac:dyDescent="0.2">
      <c r="A4198" s="366"/>
    </row>
    <row r="4199" spans="1:1" x14ac:dyDescent="0.2">
      <c r="A4199" s="366"/>
    </row>
    <row r="4200" spans="1:1" x14ac:dyDescent="0.2">
      <c r="A4200" s="366"/>
    </row>
    <row r="4201" spans="1:1" x14ac:dyDescent="0.2">
      <c r="A4201" s="366"/>
    </row>
    <row r="4202" spans="1:1" x14ac:dyDescent="0.2">
      <c r="A4202" s="366"/>
    </row>
    <row r="4203" spans="1:1" x14ac:dyDescent="0.2">
      <c r="A4203" s="366"/>
    </row>
    <row r="4204" spans="1:1" x14ac:dyDescent="0.2">
      <c r="A4204" s="366"/>
    </row>
    <row r="4205" spans="1:1" x14ac:dyDescent="0.2">
      <c r="A4205" s="366"/>
    </row>
    <row r="4206" spans="1:1" x14ac:dyDescent="0.2">
      <c r="A4206" s="366"/>
    </row>
    <row r="4207" spans="1:1" x14ac:dyDescent="0.2">
      <c r="A4207" s="366"/>
    </row>
    <row r="4208" spans="1:1" x14ac:dyDescent="0.2">
      <c r="A4208" s="366"/>
    </row>
    <row r="4209" spans="1:1" x14ac:dyDescent="0.2">
      <c r="A4209" s="366"/>
    </row>
    <row r="4210" spans="1:1" x14ac:dyDescent="0.2">
      <c r="A4210" s="366"/>
    </row>
    <row r="4211" spans="1:1" x14ac:dyDescent="0.2">
      <c r="A4211" s="366"/>
    </row>
    <row r="4212" spans="1:1" x14ac:dyDescent="0.2">
      <c r="A4212" s="366"/>
    </row>
    <row r="4213" spans="1:1" x14ac:dyDescent="0.2">
      <c r="A4213" s="366"/>
    </row>
    <row r="4214" spans="1:1" x14ac:dyDescent="0.2">
      <c r="A4214" s="366"/>
    </row>
    <row r="4215" spans="1:1" x14ac:dyDescent="0.2">
      <c r="A4215" s="366"/>
    </row>
    <row r="4216" spans="1:1" x14ac:dyDescent="0.2">
      <c r="A4216" s="366"/>
    </row>
    <row r="4217" spans="1:1" x14ac:dyDescent="0.2">
      <c r="A4217" s="366"/>
    </row>
    <row r="4218" spans="1:1" x14ac:dyDescent="0.2">
      <c r="A4218" s="366"/>
    </row>
    <row r="4219" spans="1:1" x14ac:dyDescent="0.2">
      <c r="A4219" s="366"/>
    </row>
    <row r="4220" spans="1:1" x14ac:dyDescent="0.2">
      <c r="A4220" s="366"/>
    </row>
    <row r="4221" spans="1:1" x14ac:dyDescent="0.2">
      <c r="A4221" s="366"/>
    </row>
    <row r="4222" spans="1:1" x14ac:dyDescent="0.2">
      <c r="A4222" s="366"/>
    </row>
    <row r="4223" spans="1:1" x14ac:dyDescent="0.2">
      <c r="A4223" s="366"/>
    </row>
    <row r="4224" spans="1:1" x14ac:dyDescent="0.2">
      <c r="A4224" s="366"/>
    </row>
    <row r="4225" spans="1:1" x14ac:dyDescent="0.2">
      <c r="A4225" s="366"/>
    </row>
    <row r="4226" spans="1:1" x14ac:dyDescent="0.2">
      <c r="A4226" s="366"/>
    </row>
    <row r="4227" spans="1:1" x14ac:dyDescent="0.2">
      <c r="A4227" s="366"/>
    </row>
    <row r="4228" spans="1:1" x14ac:dyDescent="0.2">
      <c r="A4228" s="366"/>
    </row>
    <row r="4229" spans="1:1" x14ac:dyDescent="0.2">
      <c r="A4229" s="366"/>
    </row>
    <row r="4230" spans="1:1" x14ac:dyDescent="0.2">
      <c r="A4230" s="366"/>
    </row>
    <row r="4231" spans="1:1" x14ac:dyDescent="0.2">
      <c r="A4231" s="366"/>
    </row>
    <row r="4232" spans="1:1" x14ac:dyDescent="0.2">
      <c r="A4232" s="366"/>
    </row>
    <row r="4233" spans="1:1" x14ac:dyDescent="0.2">
      <c r="A4233" s="366"/>
    </row>
    <row r="4234" spans="1:1" x14ac:dyDescent="0.2">
      <c r="A4234" s="366"/>
    </row>
    <row r="4235" spans="1:1" x14ac:dyDescent="0.2">
      <c r="A4235" s="366"/>
    </row>
    <row r="4236" spans="1:1" x14ac:dyDescent="0.2">
      <c r="A4236" s="366"/>
    </row>
    <row r="4237" spans="1:1" x14ac:dyDescent="0.2">
      <c r="A4237" s="366"/>
    </row>
    <row r="4238" spans="1:1" x14ac:dyDescent="0.2">
      <c r="A4238" s="366"/>
    </row>
    <row r="4239" spans="1:1" x14ac:dyDescent="0.2">
      <c r="A4239" s="366"/>
    </row>
    <row r="4240" spans="1:1" x14ac:dyDescent="0.2">
      <c r="A4240" s="366"/>
    </row>
    <row r="4241" spans="1:1" x14ac:dyDescent="0.2">
      <c r="A4241" s="366"/>
    </row>
    <row r="4242" spans="1:1" x14ac:dyDescent="0.2">
      <c r="A4242" s="366"/>
    </row>
    <row r="4243" spans="1:1" x14ac:dyDescent="0.2">
      <c r="A4243" s="366"/>
    </row>
    <row r="4244" spans="1:1" x14ac:dyDescent="0.2">
      <c r="A4244" s="366"/>
    </row>
    <row r="4245" spans="1:1" x14ac:dyDescent="0.2">
      <c r="A4245" s="366"/>
    </row>
    <row r="4246" spans="1:1" x14ac:dyDescent="0.2">
      <c r="A4246" s="366"/>
    </row>
    <row r="4247" spans="1:1" x14ac:dyDescent="0.2">
      <c r="A4247" s="366"/>
    </row>
    <row r="4248" spans="1:1" x14ac:dyDescent="0.2">
      <c r="A4248" s="366"/>
    </row>
    <row r="4249" spans="1:1" x14ac:dyDescent="0.2">
      <c r="A4249" s="366"/>
    </row>
    <row r="4250" spans="1:1" x14ac:dyDescent="0.2">
      <c r="A4250" s="366"/>
    </row>
    <row r="4251" spans="1:1" x14ac:dyDescent="0.2">
      <c r="A4251" s="366"/>
    </row>
    <row r="4252" spans="1:1" x14ac:dyDescent="0.2">
      <c r="A4252" s="366"/>
    </row>
    <row r="4253" spans="1:1" x14ac:dyDescent="0.2">
      <c r="A4253" s="366"/>
    </row>
    <row r="4254" spans="1:1" x14ac:dyDescent="0.2">
      <c r="A4254" s="366"/>
    </row>
    <row r="4255" spans="1:1" x14ac:dyDescent="0.2">
      <c r="A4255" s="366"/>
    </row>
    <row r="4256" spans="1:1" x14ac:dyDescent="0.2">
      <c r="A4256" s="366"/>
    </row>
    <row r="4257" spans="1:1" x14ac:dyDescent="0.2">
      <c r="A4257" s="366"/>
    </row>
    <row r="4258" spans="1:1" x14ac:dyDescent="0.2">
      <c r="A4258" s="366"/>
    </row>
    <row r="4259" spans="1:1" x14ac:dyDescent="0.2">
      <c r="A4259" s="366"/>
    </row>
    <row r="4260" spans="1:1" x14ac:dyDescent="0.2">
      <c r="A4260" s="366"/>
    </row>
    <row r="4261" spans="1:1" x14ac:dyDescent="0.2">
      <c r="A4261" s="366"/>
    </row>
    <row r="4262" spans="1:1" x14ac:dyDescent="0.2">
      <c r="A4262" s="366"/>
    </row>
    <row r="4263" spans="1:1" x14ac:dyDescent="0.2">
      <c r="A4263" s="366"/>
    </row>
    <row r="4264" spans="1:1" x14ac:dyDescent="0.2">
      <c r="A4264" s="366"/>
    </row>
    <row r="4265" spans="1:1" x14ac:dyDescent="0.2">
      <c r="A4265" s="366"/>
    </row>
    <row r="4266" spans="1:1" x14ac:dyDescent="0.2">
      <c r="A4266" s="366"/>
    </row>
    <row r="4267" spans="1:1" x14ac:dyDescent="0.2">
      <c r="A4267" s="366"/>
    </row>
    <row r="4268" spans="1:1" x14ac:dyDescent="0.2">
      <c r="A4268" s="366"/>
    </row>
    <row r="4269" spans="1:1" x14ac:dyDescent="0.2">
      <c r="A4269" s="366"/>
    </row>
    <row r="4270" spans="1:1" x14ac:dyDescent="0.2">
      <c r="A4270" s="366"/>
    </row>
    <row r="4271" spans="1:1" x14ac:dyDescent="0.2">
      <c r="A4271" s="366"/>
    </row>
    <row r="4272" spans="1:1" x14ac:dyDescent="0.2">
      <c r="A4272" s="366"/>
    </row>
    <row r="4273" spans="1:1" x14ac:dyDescent="0.2">
      <c r="A4273" s="366"/>
    </row>
    <row r="4274" spans="1:1" x14ac:dyDescent="0.2">
      <c r="A4274" s="366"/>
    </row>
    <row r="4275" spans="1:1" x14ac:dyDescent="0.2">
      <c r="A4275" s="366"/>
    </row>
    <row r="4276" spans="1:1" x14ac:dyDescent="0.2">
      <c r="A4276" s="366"/>
    </row>
    <row r="4277" spans="1:1" x14ac:dyDescent="0.2">
      <c r="A4277" s="366"/>
    </row>
    <row r="4278" spans="1:1" x14ac:dyDescent="0.2">
      <c r="A4278" s="366"/>
    </row>
    <row r="4279" spans="1:1" x14ac:dyDescent="0.2">
      <c r="A4279" s="366"/>
    </row>
    <row r="4280" spans="1:1" x14ac:dyDescent="0.2">
      <c r="A4280" s="366"/>
    </row>
    <row r="4281" spans="1:1" x14ac:dyDescent="0.2">
      <c r="A4281" s="366"/>
    </row>
    <row r="4282" spans="1:1" x14ac:dyDescent="0.2">
      <c r="A4282" s="366"/>
    </row>
    <row r="4283" spans="1:1" x14ac:dyDescent="0.2">
      <c r="A4283" s="366"/>
    </row>
    <row r="4284" spans="1:1" x14ac:dyDescent="0.2">
      <c r="A4284" s="366"/>
    </row>
    <row r="4285" spans="1:1" x14ac:dyDescent="0.2">
      <c r="A4285" s="366"/>
    </row>
    <row r="4286" spans="1:1" x14ac:dyDescent="0.2">
      <c r="A4286" s="366"/>
    </row>
    <row r="4287" spans="1:1" x14ac:dyDescent="0.2">
      <c r="A4287" s="366"/>
    </row>
    <row r="4288" spans="1:1" x14ac:dyDescent="0.2">
      <c r="A4288" s="366"/>
    </row>
    <row r="4289" spans="1:1" x14ac:dyDescent="0.2">
      <c r="A4289" s="366"/>
    </row>
    <row r="4290" spans="1:1" x14ac:dyDescent="0.2">
      <c r="A4290" s="366"/>
    </row>
    <row r="4291" spans="1:1" x14ac:dyDescent="0.2">
      <c r="A4291" s="366"/>
    </row>
    <row r="4292" spans="1:1" x14ac:dyDescent="0.2">
      <c r="A4292" s="366"/>
    </row>
    <row r="4293" spans="1:1" x14ac:dyDescent="0.2">
      <c r="A4293" s="366"/>
    </row>
    <row r="4294" spans="1:1" x14ac:dyDescent="0.2">
      <c r="A4294" s="366"/>
    </row>
    <row r="4295" spans="1:1" x14ac:dyDescent="0.2">
      <c r="A4295" s="366"/>
    </row>
    <row r="4296" spans="1:1" x14ac:dyDescent="0.2">
      <c r="A4296" s="366"/>
    </row>
    <row r="4297" spans="1:1" x14ac:dyDescent="0.2">
      <c r="A4297" s="366"/>
    </row>
    <row r="4298" spans="1:1" x14ac:dyDescent="0.2">
      <c r="A4298" s="366"/>
    </row>
    <row r="4299" spans="1:1" x14ac:dyDescent="0.2">
      <c r="A4299" s="366"/>
    </row>
    <row r="4300" spans="1:1" x14ac:dyDescent="0.2">
      <c r="A4300" s="366"/>
    </row>
    <row r="4301" spans="1:1" x14ac:dyDescent="0.2">
      <c r="A4301" s="366"/>
    </row>
    <row r="4302" spans="1:1" x14ac:dyDescent="0.2">
      <c r="A4302" s="366"/>
    </row>
    <row r="4303" spans="1:1" x14ac:dyDescent="0.2">
      <c r="A4303" s="366"/>
    </row>
    <row r="4304" spans="1:1" x14ac:dyDescent="0.2">
      <c r="A4304" s="366"/>
    </row>
    <row r="4305" spans="1:1" x14ac:dyDescent="0.2">
      <c r="A4305" s="366"/>
    </row>
    <row r="4306" spans="1:1" x14ac:dyDescent="0.2">
      <c r="A4306" s="366"/>
    </row>
    <row r="4307" spans="1:1" x14ac:dyDescent="0.2">
      <c r="A4307" s="366"/>
    </row>
    <row r="4308" spans="1:1" x14ac:dyDescent="0.2">
      <c r="A4308" s="366"/>
    </row>
    <row r="4309" spans="1:1" x14ac:dyDescent="0.2">
      <c r="A4309" s="366"/>
    </row>
    <row r="4310" spans="1:1" x14ac:dyDescent="0.2">
      <c r="A4310" s="366"/>
    </row>
    <row r="4311" spans="1:1" x14ac:dyDescent="0.2">
      <c r="A4311" s="366"/>
    </row>
    <row r="4312" spans="1:1" x14ac:dyDescent="0.2">
      <c r="A4312" s="366"/>
    </row>
    <row r="4313" spans="1:1" x14ac:dyDescent="0.2">
      <c r="A4313" s="366"/>
    </row>
    <row r="4314" spans="1:1" x14ac:dyDescent="0.2">
      <c r="A4314" s="366"/>
    </row>
    <row r="4315" spans="1:1" x14ac:dyDescent="0.2">
      <c r="A4315" s="366"/>
    </row>
    <row r="4316" spans="1:1" x14ac:dyDescent="0.2">
      <c r="A4316" s="366"/>
    </row>
    <row r="4317" spans="1:1" x14ac:dyDescent="0.2">
      <c r="A4317" s="366"/>
    </row>
    <row r="4318" spans="1:1" x14ac:dyDescent="0.2">
      <c r="A4318" s="366"/>
    </row>
    <row r="4319" spans="1:1" x14ac:dyDescent="0.2">
      <c r="A4319" s="366"/>
    </row>
    <row r="4320" spans="1:1" x14ac:dyDescent="0.2">
      <c r="A4320" s="366"/>
    </row>
    <row r="4321" spans="1:1" x14ac:dyDescent="0.2">
      <c r="A4321" s="366"/>
    </row>
    <row r="4322" spans="1:1" x14ac:dyDescent="0.2">
      <c r="A4322" s="366"/>
    </row>
    <row r="4323" spans="1:1" x14ac:dyDescent="0.2">
      <c r="A4323" s="366"/>
    </row>
    <row r="4324" spans="1:1" x14ac:dyDescent="0.2">
      <c r="A4324" s="366"/>
    </row>
    <row r="4325" spans="1:1" x14ac:dyDescent="0.2">
      <c r="A4325" s="366"/>
    </row>
    <row r="4326" spans="1:1" x14ac:dyDescent="0.2">
      <c r="A4326" s="366"/>
    </row>
    <row r="4327" spans="1:1" x14ac:dyDescent="0.2">
      <c r="A4327" s="366"/>
    </row>
    <row r="4328" spans="1:1" x14ac:dyDescent="0.2">
      <c r="A4328" s="366"/>
    </row>
    <row r="4329" spans="1:1" x14ac:dyDescent="0.2">
      <c r="A4329" s="366"/>
    </row>
    <row r="4330" spans="1:1" x14ac:dyDescent="0.2">
      <c r="A4330" s="366"/>
    </row>
    <row r="4331" spans="1:1" x14ac:dyDescent="0.2">
      <c r="A4331" s="366"/>
    </row>
    <row r="4332" spans="1:1" x14ac:dyDescent="0.2">
      <c r="A4332" s="366"/>
    </row>
    <row r="4333" spans="1:1" x14ac:dyDescent="0.2">
      <c r="A4333" s="366"/>
    </row>
    <row r="4334" spans="1:1" x14ac:dyDescent="0.2">
      <c r="A4334" s="366"/>
    </row>
    <row r="4335" spans="1:1" x14ac:dyDescent="0.2">
      <c r="A4335" s="366"/>
    </row>
    <row r="4336" spans="1:1" x14ac:dyDescent="0.2">
      <c r="A4336" s="366"/>
    </row>
    <row r="4337" spans="1:1" x14ac:dyDescent="0.2">
      <c r="A4337" s="366"/>
    </row>
    <row r="4338" spans="1:1" x14ac:dyDescent="0.2">
      <c r="A4338" s="366"/>
    </row>
    <row r="4339" spans="1:1" x14ac:dyDescent="0.2">
      <c r="A4339" s="366"/>
    </row>
    <row r="4340" spans="1:1" x14ac:dyDescent="0.2">
      <c r="A4340" s="366"/>
    </row>
    <row r="4341" spans="1:1" x14ac:dyDescent="0.2">
      <c r="A4341" s="366"/>
    </row>
    <row r="4342" spans="1:1" x14ac:dyDescent="0.2">
      <c r="A4342" s="366"/>
    </row>
    <row r="4343" spans="1:1" x14ac:dyDescent="0.2">
      <c r="A4343" s="366"/>
    </row>
    <row r="4344" spans="1:1" x14ac:dyDescent="0.2">
      <c r="A4344" s="366"/>
    </row>
    <row r="4345" spans="1:1" x14ac:dyDescent="0.2">
      <c r="A4345" s="366"/>
    </row>
    <row r="4346" spans="1:1" x14ac:dyDescent="0.2">
      <c r="A4346" s="366"/>
    </row>
    <row r="4347" spans="1:1" x14ac:dyDescent="0.2">
      <c r="A4347" s="366"/>
    </row>
    <row r="4348" spans="1:1" x14ac:dyDescent="0.2">
      <c r="A4348" s="366"/>
    </row>
    <row r="4349" spans="1:1" x14ac:dyDescent="0.2">
      <c r="A4349" s="366"/>
    </row>
    <row r="4350" spans="1:1" x14ac:dyDescent="0.2">
      <c r="A4350" s="366"/>
    </row>
    <row r="4351" spans="1:1" x14ac:dyDescent="0.2">
      <c r="A4351" s="366"/>
    </row>
    <row r="4352" spans="1:1" x14ac:dyDescent="0.2">
      <c r="A4352" s="366"/>
    </row>
    <row r="4353" spans="1:1" x14ac:dyDescent="0.2">
      <c r="A4353" s="366"/>
    </row>
    <row r="4354" spans="1:1" x14ac:dyDescent="0.2">
      <c r="A4354" s="366"/>
    </row>
    <row r="4355" spans="1:1" x14ac:dyDescent="0.2">
      <c r="A4355" s="366"/>
    </row>
    <row r="4356" spans="1:1" x14ac:dyDescent="0.2">
      <c r="A4356" s="366"/>
    </row>
    <row r="4357" spans="1:1" x14ac:dyDescent="0.2">
      <c r="A4357" s="366"/>
    </row>
    <row r="4358" spans="1:1" x14ac:dyDescent="0.2">
      <c r="A4358" s="366"/>
    </row>
    <row r="4359" spans="1:1" x14ac:dyDescent="0.2">
      <c r="A4359" s="366"/>
    </row>
    <row r="4360" spans="1:1" x14ac:dyDescent="0.2">
      <c r="A4360" s="366"/>
    </row>
    <row r="4361" spans="1:1" x14ac:dyDescent="0.2">
      <c r="A4361" s="366"/>
    </row>
    <row r="4362" spans="1:1" x14ac:dyDescent="0.2">
      <c r="A4362" s="366"/>
    </row>
    <row r="4363" spans="1:1" x14ac:dyDescent="0.2">
      <c r="A4363" s="366"/>
    </row>
    <row r="4364" spans="1:1" x14ac:dyDescent="0.2">
      <c r="A4364" s="366"/>
    </row>
    <row r="4365" spans="1:1" x14ac:dyDescent="0.2">
      <c r="A4365" s="366"/>
    </row>
    <row r="4366" spans="1:1" x14ac:dyDescent="0.2">
      <c r="A4366" s="366"/>
    </row>
    <row r="4367" spans="1:1" x14ac:dyDescent="0.2">
      <c r="A4367" s="366"/>
    </row>
    <row r="4368" spans="1:1" x14ac:dyDescent="0.2">
      <c r="A4368" s="366"/>
    </row>
    <row r="4369" spans="1:1" x14ac:dyDescent="0.2">
      <c r="A4369" s="366"/>
    </row>
    <row r="4370" spans="1:1" x14ac:dyDescent="0.2">
      <c r="A4370" s="366"/>
    </row>
    <row r="4371" spans="1:1" x14ac:dyDescent="0.2">
      <c r="A4371" s="366"/>
    </row>
    <row r="4372" spans="1:1" x14ac:dyDescent="0.2">
      <c r="A4372" s="366"/>
    </row>
    <row r="4373" spans="1:1" x14ac:dyDescent="0.2">
      <c r="A4373" s="366"/>
    </row>
    <row r="4374" spans="1:1" x14ac:dyDescent="0.2">
      <c r="A4374" s="366"/>
    </row>
    <row r="4375" spans="1:1" x14ac:dyDescent="0.2">
      <c r="A4375" s="366"/>
    </row>
    <row r="4376" spans="1:1" x14ac:dyDescent="0.2">
      <c r="A4376" s="366"/>
    </row>
    <row r="4377" spans="1:1" x14ac:dyDescent="0.2">
      <c r="A4377" s="366"/>
    </row>
    <row r="4378" spans="1:1" x14ac:dyDescent="0.2">
      <c r="A4378" s="366"/>
    </row>
    <row r="4379" spans="1:1" x14ac:dyDescent="0.2">
      <c r="A4379" s="366"/>
    </row>
    <row r="4380" spans="1:1" x14ac:dyDescent="0.2">
      <c r="A4380" s="366"/>
    </row>
    <row r="4381" spans="1:1" x14ac:dyDescent="0.2">
      <c r="A4381" s="366"/>
    </row>
    <row r="4382" spans="1:1" x14ac:dyDescent="0.2">
      <c r="A4382" s="366"/>
    </row>
    <row r="4383" spans="1:1" x14ac:dyDescent="0.2">
      <c r="A4383" s="366"/>
    </row>
    <row r="4384" spans="1:1" x14ac:dyDescent="0.2">
      <c r="A4384" s="366"/>
    </row>
    <row r="4385" spans="1:1" x14ac:dyDescent="0.2">
      <c r="A4385" s="366"/>
    </row>
    <row r="4386" spans="1:1" x14ac:dyDescent="0.2">
      <c r="A4386" s="366"/>
    </row>
    <row r="4387" spans="1:1" x14ac:dyDescent="0.2">
      <c r="A4387" s="366"/>
    </row>
    <row r="4388" spans="1:1" x14ac:dyDescent="0.2">
      <c r="A4388" s="366"/>
    </row>
    <row r="4389" spans="1:1" x14ac:dyDescent="0.2">
      <c r="A4389" s="366"/>
    </row>
    <row r="4390" spans="1:1" x14ac:dyDescent="0.2">
      <c r="A4390" s="366"/>
    </row>
    <row r="4391" spans="1:1" x14ac:dyDescent="0.2">
      <c r="A4391" s="366"/>
    </row>
    <row r="4392" spans="1:1" x14ac:dyDescent="0.2">
      <c r="A4392" s="366"/>
    </row>
    <row r="4393" spans="1:1" x14ac:dyDescent="0.2">
      <c r="A4393" s="366"/>
    </row>
    <row r="4394" spans="1:1" x14ac:dyDescent="0.2">
      <c r="A4394" s="366"/>
    </row>
    <row r="4395" spans="1:1" x14ac:dyDescent="0.2">
      <c r="A4395" s="366"/>
    </row>
    <row r="4396" spans="1:1" x14ac:dyDescent="0.2">
      <c r="A4396" s="366"/>
    </row>
    <row r="4397" spans="1:1" x14ac:dyDescent="0.2">
      <c r="A4397" s="366"/>
    </row>
    <row r="4398" spans="1:1" x14ac:dyDescent="0.2">
      <c r="A4398" s="366"/>
    </row>
    <row r="4399" spans="1:1" x14ac:dyDescent="0.2">
      <c r="A4399" s="366"/>
    </row>
    <row r="4400" spans="1:1" x14ac:dyDescent="0.2">
      <c r="A4400" s="366"/>
    </row>
    <row r="4401" spans="1:1" x14ac:dyDescent="0.2">
      <c r="A4401" s="366"/>
    </row>
    <row r="4402" spans="1:1" x14ac:dyDescent="0.2">
      <c r="A4402" s="366"/>
    </row>
    <row r="4403" spans="1:1" x14ac:dyDescent="0.2">
      <c r="A4403" s="366"/>
    </row>
    <row r="4404" spans="1:1" x14ac:dyDescent="0.2">
      <c r="A4404" s="366"/>
    </row>
    <row r="4405" spans="1:1" x14ac:dyDescent="0.2">
      <c r="A4405" s="366"/>
    </row>
    <row r="4406" spans="1:1" x14ac:dyDescent="0.2">
      <c r="A4406" s="366"/>
    </row>
    <row r="4407" spans="1:1" x14ac:dyDescent="0.2">
      <c r="A4407" s="366"/>
    </row>
    <row r="4408" spans="1:1" x14ac:dyDescent="0.2">
      <c r="A4408" s="366"/>
    </row>
    <row r="4409" spans="1:1" x14ac:dyDescent="0.2">
      <c r="A4409" s="366"/>
    </row>
    <row r="4410" spans="1:1" x14ac:dyDescent="0.2">
      <c r="A4410" s="366"/>
    </row>
    <row r="4411" spans="1:1" x14ac:dyDescent="0.2">
      <c r="A4411" s="366"/>
    </row>
    <row r="4412" spans="1:1" x14ac:dyDescent="0.2">
      <c r="A4412" s="366"/>
    </row>
    <row r="4413" spans="1:1" x14ac:dyDescent="0.2">
      <c r="A4413" s="366"/>
    </row>
    <row r="4414" spans="1:1" x14ac:dyDescent="0.2">
      <c r="A4414" s="366"/>
    </row>
    <row r="4415" spans="1:1" x14ac:dyDescent="0.2">
      <c r="A4415" s="366"/>
    </row>
    <row r="4416" spans="1:1" x14ac:dyDescent="0.2">
      <c r="A4416" s="366"/>
    </row>
    <row r="4417" spans="1:1" x14ac:dyDescent="0.2">
      <c r="A4417" s="366"/>
    </row>
    <row r="4418" spans="1:1" x14ac:dyDescent="0.2">
      <c r="A4418" s="366"/>
    </row>
    <row r="4419" spans="1:1" x14ac:dyDescent="0.2">
      <c r="A4419" s="366"/>
    </row>
    <row r="4420" spans="1:1" x14ac:dyDescent="0.2">
      <c r="A4420" s="366"/>
    </row>
    <row r="4421" spans="1:1" x14ac:dyDescent="0.2">
      <c r="A4421" s="366"/>
    </row>
    <row r="4422" spans="1:1" x14ac:dyDescent="0.2">
      <c r="A4422" s="366"/>
    </row>
    <row r="4423" spans="1:1" x14ac:dyDescent="0.2">
      <c r="A4423" s="366"/>
    </row>
    <row r="4424" spans="1:1" x14ac:dyDescent="0.2">
      <c r="A4424" s="366"/>
    </row>
    <row r="4425" spans="1:1" x14ac:dyDescent="0.2">
      <c r="A4425" s="366"/>
    </row>
    <row r="4426" spans="1:1" x14ac:dyDescent="0.2">
      <c r="A4426" s="366"/>
    </row>
    <row r="4427" spans="1:1" x14ac:dyDescent="0.2">
      <c r="A4427" s="366"/>
    </row>
    <row r="4428" spans="1:1" x14ac:dyDescent="0.2">
      <c r="A4428" s="366"/>
    </row>
    <row r="4429" spans="1:1" x14ac:dyDescent="0.2">
      <c r="A4429" s="366"/>
    </row>
    <row r="4430" spans="1:1" x14ac:dyDescent="0.2">
      <c r="A4430" s="366"/>
    </row>
    <row r="4431" spans="1:1" x14ac:dyDescent="0.2">
      <c r="A4431" s="366"/>
    </row>
    <row r="4432" spans="1:1" x14ac:dyDescent="0.2">
      <c r="A4432" s="366"/>
    </row>
    <row r="4433" spans="1:1" x14ac:dyDescent="0.2">
      <c r="A4433" s="366"/>
    </row>
    <row r="4434" spans="1:1" x14ac:dyDescent="0.2">
      <c r="A4434" s="366"/>
    </row>
    <row r="4435" spans="1:1" x14ac:dyDescent="0.2">
      <c r="A4435" s="366"/>
    </row>
    <row r="4436" spans="1:1" x14ac:dyDescent="0.2">
      <c r="A4436" s="366"/>
    </row>
    <row r="4437" spans="1:1" x14ac:dyDescent="0.2">
      <c r="A4437" s="366"/>
    </row>
    <row r="4438" spans="1:1" x14ac:dyDescent="0.2">
      <c r="A4438" s="366"/>
    </row>
    <row r="4439" spans="1:1" x14ac:dyDescent="0.2">
      <c r="A4439" s="366"/>
    </row>
    <row r="4440" spans="1:1" x14ac:dyDescent="0.2">
      <c r="A4440" s="366"/>
    </row>
    <row r="4441" spans="1:1" x14ac:dyDescent="0.2">
      <c r="A4441" s="366"/>
    </row>
    <row r="4442" spans="1:1" x14ac:dyDescent="0.2">
      <c r="A4442" s="366"/>
    </row>
    <row r="4443" spans="1:1" x14ac:dyDescent="0.2">
      <c r="A4443" s="366"/>
    </row>
    <row r="4444" spans="1:1" x14ac:dyDescent="0.2">
      <c r="A4444" s="366"/>
    </row>
    <row r="4445" spans="1:1" x14ac:dyDescent="0.2">
      <c r="A4445" s="366"/>
    </row>
    <row r="4446" spans="1:1" x14ac:dyDescent="0.2">
      <c r="A4446" s="366"/>
    </row>
    <row r="4447" spans="1:1" x14ac:dyDescent="0.2">
      <c r="A4447" s="366"/>
    </row>
    <row r="4448" spans="1:1" x14ac:dyDescent="0.2">
      <c r="A4448" s="366"/>
    </row>
    <row r="4449" spans="1:1" x14ac:dyDescent="0.2">
      <c r="A4449" s="366"/>
    </row>
    <row r="4450" spans="1:1" x14ac:dyDescent="0.2">
      <c r="A4450" s="366"/>
    </row>
    <row r="4451" spans="1:1" x14ac:dyDescent="0.2">
      <c r="A4451" s="366"/>
    </row>
    <row r="4452" spans="1:1" x14ac:dyDescent="0.2">
      <c r="A4452" s="366"/>
    </row>
    <row r="4453" spans="1:1" x14ac:dyDescent="0.2">
      <c r="A4453" s="366"/>
    </row>
    <row r="4454" spans="1:1" x14ac:dyDescent="0.2">
      <c r="A4454" s="366"/>
    </row>
    <row r="4455" spans="1:1" x14ac:dyDescent="0.2">
      <c r="A4455" s="366"/>
    </row>
    <row r="4456" spans="1:1" x14ac:dyDescent="0.2">
      <c r="A4456" s="366"/>
    </row>
    <row r="4457" spans="1:1" x14ac:dyDescent="0.2">
      <c r="A4457" s="366"/>
    </row>
    <row r="4458" spans="1:1" x14ac:dyDescent="0.2">
      <c r="A4458" s="366"/>
    </row>
    <row r="4459" spans="1:1" x14ac:dyDescent="0.2">
      <c r="A4459" s="366"/>
    </row>
    <row r="4460" spans="1:1" x14ac:dyDescent="0.2">
      <c r="A4460" s="366"/>
    </row>
    <row r="4461" spans="1:1" x14ac:dyDescent="0.2">
      <c r="A4461" s="366"/>
    </row>
    <row r="4462" spans="1:1" x14ac:dyDescent="0.2">
      <c r="A4462" s="366"/>
    </row>
    <row r="4463" spans="1:1" x14ac:dyDescent="0.2">
      <c r="A4463" s="366"/>
    </row>
    <row r="4464" spans="1:1" x14ac:dyDescent="0.2">
      <c r="A4464" s="366"/>
    </row>
    <row r="4465" spans="1:1" x14ac:dyDescent="0.2">
      <c r="A4465" s="366"/>
    </row>
    <row r="4466" spans="1:1" x14ac:dyDescent="0.2">
      <c r="A4466" s="366"/>
    </row>
    <row r="4467" spans="1:1" x14ac:dyDescent="0.2">
      <c r="A4467" s="366"/>
    </row>
    <row r="4468" spans="1:1" x14ac:dyDescent="0.2">
      <c r="A4468" s="366"/>
    </row>
    <row r="4469" spans="1:1" x14ac:dyDescent="0.2">
      <c r="A4469" s="366"/>
    </row>
    <row r="4470" spans="1:1" x14ac:dyDescent="0.2">
      <c r="A4470" s="366"/>
    </row>
    <row r="4471" spans="1:1" x14ac:dyDescent="0.2">
      <c r="A4471" s="366"/>
    </row>
    <row r="4472" spans="1:1" x14ac:dyDescent="0.2">
      <c r="A4472" s="366"/>
    </row>
    <row r="4473" spans="1:1" x14ac:dyDescent="0.2">
      <c r="A4473" s="366"/>
    </row>
    <row r="4474" spans="1:1" x14ac:dyDescent="0.2">
      <c r="A4474" s="366"/>
    </row>
    <row r="4475" spans="1:1" x14ac:dyDescent="0.2">
      <c r="A4475" s="366"/>
    </row>
    <row r="4476" spans="1:1" x14ac:dyDescent="0.2">
      <c r="A4476" s="366"/>
    </row>
    <row r="4477" spans="1:1" x14ac:dyDescent="0.2">
      <c r="A4477" s="366"/>
    </row>
    <row r="4478" spans="1:1" x14ac:dyDescent="0.2">
      <c r="A4478" s="366"/>
    </row>
    <row r="4479" spans="1:1" x14ac:dyDescent="0.2">
      <c r="A4479" s="366"/>
    </row>
    <row r="4480" spans="1:1" x14ac:dyDescent="0.2">
      <c r="A4480" s="366"/>
    </row>
    <row r="4481" spans="1:1" x14ac:dyDescent="0.2">
      <c r="A4481" s="366"/>
    </row>
    <row r="4482" spans="1:1" x14ac:dyDescent="0.2">
      <c r="A4482" s="366"/>
    </row>
    <row r="4483" spans="1:1" x14ac:dyDescent="0.2">
      <c r="A4483" s="366"/>
    </row>
    <row r="4484" spans="1:1" x14ac:dyDescent="0.2">
      <c r="A4484" s="366"/>
    </row>
    <row r="4485" spans="1:1" x14ac:dyDescent="0.2">
      <c r="A4485" s="366"/>
    </row>
    <row r="4486" spans="1:1" x14ac:dyDescent="0.2">
      <c r="A4486" s="366"/>
    </row>
    <row r="4487" spans="1:1" x14ac:dyDescent="0.2">
      <c r="A4487" s="366"/>
    </row>
    <row r="4488" spans="1:1" x14ac:dyDescent="0.2">
      <c r="A4488" s="366"/>
    </row>
    <row r="4489" spans="1:1" x14ac:dyDescent="0.2">
      <c r="A4489" s="366"/>
    </row>
    <row r="4490" spans="1:1" x14ac:dyDescent="0.2">
      <c r="A4490" s="366"/>
    </row>
    <row r="4491" spans="1:1" x14ac:dyDescent="0.2">
      <c r="A4491" s="366"/>
    </row>
    <row r="4492" spans="1:1" x14ac:dyDescent="0.2">
      <c r="A4492" s="366"/>
    </row>
    <row r="4493" spans="1:1" x14ac:dyDescent="0.2">
      <c r="A4493" s="366"/>
    </row>
    <row r="4494" spans="1:1" x14ac:dyDescent="0.2">
      <c r="A4494" s="366"/>
    </row>
    <row r="4495" spans="1:1" x14ac:dyDescent="0.2">
      <c r="A4495" s="366"/>
    </row>
    <row r="4496" spans="1:1" x14ac:dyDescent="0.2">
      <c r="A4496" s="366"/>
    </row>
    <row r="4497" spans="1:1" x14ac:dyDescent="0.2">
      <c r="A4497" s="366"/>
    </row>
    <row r="4498" spans="1:1" x14ac:dyDescent="0.2">
      <c r="A4498" s="366"/>
    </row>
    <row r="4499" spans="1:1" x14ac:dyDescent="0.2">
      <c r="A4499" s="366"/>
    </row>
    <row r="4500" spans="1:1" x14ac:dyDescent="0.2">
      <c r="A4500" s="366"/>
    </row>
    <row r="4501" spans="1:1" x14ac:dyDescent="0.2">
      <c r="A4501" s="366"/>
    </row>
    <row r="4502" spans="1:1" x14ac:dyDescent="0.2">
      <c r="A4502" s="366"/>
    </row>
    <row r="4503" spans="1:1" x14ac:dyDescent="0.2">
      <c r="A4503" s="366"/>
    </row>
    <row r="4504" spans="1:1" x14ac:dyDescent="0.2">
      <c r="A4504" s="366"/>
    </row>
    <row r="4505" spans="1:1" x14ac:dyDescent="0.2">
      <c r="A4505" s="366"/>
    </row>
    <row r="4506" spans="1:1" x14ac:dyDescent="0.2">
      <c r="A4506" s="366"/>
    </row>
    <row r="4507" spans="1:1" x14ac:dyDescent="0.2">
      <c r="A4507" s="366"/>
    </row>
    <row r="4508" spans="1:1" x14ac:dyDescent="0.2">
      <c r="A4508" s="366"/>
    </row>
    <row r="4509" spans="1:1" x14ac:dyDescent="0.2">
      <c r="A4509" s="366"/>
    </row>
    <row r="4510" spans="1:1" x14ac:dyDescent="0.2">
      <c r="A4510" s="366"/>
    </row>
    <row r="4511" spans="1:1" x14ac:dyDescent="0.2">
      <c r="A4511" s="366"/>
    </row>
    <row r="4512" spans="1:1" x14ac:dyDescent="0.2">
      <c r="A4512" s="366"/>
    </row>
    <row r="4513" spans="1:1" x14ac:dyDescent="0.2">
      <c r="A4513" s="366"/>
    </row>
    <row r="4514" spans="1:1" x14ac:dyDescent="0.2">
      <c r="A4514" s="366"/>
    </row>
    <row r="4515" spans="1:1" x14ac:dyDescent="0.2">
      <c r="A4515" s="366"/>
    </row>
    <row r="4516" spans="1:1" x14ac:dyDescent="0.2">
      <c r="A4516" s="366"/>
    </row>
    <row r="4517" spans="1:1" x14ac:dyDescent="0.2">
      <c r="A4517" s="366"/>
    </row>
    <row r="4518" spans="1:1" x14ac:dyDescent="0.2">
      <c r="A4518" s="366"/>
    </row>
    <row r="4519" spans="1:1" x14ac:dyDescent="0.2">
      <c r="A4519" s="366"/>
    </row>
    <row r="4520" spans="1:1" x14ac:dyDescent="0.2">
      <c r="A4520" s="366"/>
    </row>
    <row r="4521" spans="1:1" x14ac:dyDescent="0.2">
      <c r="A4521" s="366"/>
    </row>
    <row r="4522" spans="1:1" x14ac:dyDescent="0.2">
      <c r="A4522" s="366"/>
    </row>
    <row r="4523" spans="1:1" x14ac:dyDescent="0.2">
      <c r="A4523" s="366"/>
    </row>
    <row r="4524" spans="1:1" x14ac:dyDescent="0.2">
      <c r="A4524" s="366"/>
    </row>
    <row r="4525" spans="1:1" x14ac:dyDescent="0.2">
      <c r="A4525" s="366"/>
    </row>
    <row r="4526" spans="1:1" x14ac:dyDescent="0.2">
      <c r="A4526" s="366"/>
    </row>
    <row r="4527" spans="1:1" x14ac:dyDescent="0.2">
      <c r="A4527" s="366"/>
    </row>
    <row r="4528" spans="1:1" x14ac:dyDescent="0.2">
      <c r="A4528" s="366"/>
    </row>
    <row r="4529" spans="1:1" x14ac:dyDescent="0.2">
      <c r="A4529" s="366"/>
    </row>
    <row r="4530" spans="1:1" x14ac:dyDescent="0.2">
      <c r="A4530" s="366"/>
    </row>
    <row r="4531" spans="1:1" x14ac:dyDescent="0.2">
      <c r="A4531" s="366"/>
    </row>
    <row r="4532" spans="1:1" x14ac:dyDescent="0.2">
      <c r="A4532" s="366"/>
    </row>
    <row r="4533" spans="1:1" x14ac:dyDescent="0.2">
      <c r="A4533" s="366"/>
    </row>
    <row r="4534" spans="1:1" x14ac:dyDescent="0.2">
      <c r="A4534" s="366"/>
    </row>
    <row r="4535" spans="1:1" x14ac:dyDescent="0.2">
      <c r="A4535" s="366"/>
    </row>
    <row r="4536" spans="1:1" x14ac:dyDescent="0.2">
      <c r="A4536" s="366"/>
    </row>
    <row r="4537" spans="1:1" x14ac:dyDescent="0.2">
      <c r="A4537" s="366"/>
    </row>
    <row r="4538" spans="1:1" x14ac:dyDescent="0.2">
      <c r="A4538" s="366"/>
    </row>
    <row r="4539" spans="1:1" x14ac:dyDescent="0.2">
      <c r="A4539" s="366"/>
    </row>
    <row r="4540" spans="1:1" x14ac:dyDescent="0.2">
      <c r="A4540" s="366"/>
    </row>
    <row r="4541" spans="1:1" x14ac:dyDescent="0.2">
      <c r="A4541" s="366"/>
    </row>
    <row r="4542" spans="1:1" x14ac:dyDescent="0.2">
      <c r="A4542" s="366"/>
    </row>
    <row r="4543" spans="1:1" x14ac:dyDescent="0.2">
      <c r="A4543" s="366"/>
    </row>
    <row r="4544" spans="1:1" x14ac:dyDescent="0.2">
      <c r="A4544" s="366"/>
    </row>
    <row r="4545" spans="1:1" x14ac:dyDescent="0.2">
      <c r="A4545" s="366"/>
    </row>
    <row r="4546" spans="1:1" x14ac:dyDescent="0.2">
      <c r="A4546" s="366"/>
    </row>
    <row r="4547" spans="1:1" x14ac:dyDescent="0.2">
      <c r="A4547" s="366"/>
    </row>
    <row r="4548" spans="1:1" x14ac:dyDescent="0.2">
      <c r="A4548" s="366"/>
    </row>
    <row r="4549" spans="1:1" x14ac:dyDescent="0.2">
      <c r="A4549" s="366"/>
    </row>
    <row r="4550" spans="1:1" x14ac:dyDescent="0.2">
      <c r="A4550" s="366"/>
    </row>
    <row r="4551" spans="1:1" x14ac:dyDescent="0.2">
      <c r="A4551" s="366"/>
    </row>
    <row r="4552" spans="1:1" x14ac:dyDescent="0.2">
      <c r="A4552" s="366"/>
    </row>
    <row r="4553" spans="1:1" x14ac:dyDescent="0.2">
      <c r="A4553" s="366"/>
    </row>
    <row r="4554" spans="1:1" x14ac:dyDescent="0.2">
      <c r="A4554" s="366"/>
    </row>
    <row r="4555" spans="1:1" x14ac:dyDescent="0.2">
      <c r="A4555" s="366"/>
    </row>
    <row r="4556" spans="1:1" x14ac:dyDescent="0.2">
      <c r="A4556" s="366"/>
    </row>
    <row r="4557" spans="1:1" x14ac:dyDescent="0.2">
      <c r="A4557" s="366"/>
    </row>
    <row r="4558" spans="1:1" x14ac:dyDescent="0.2">
      <c r="A4558" s="366"/>
    </row>
    <row r="4559" spans="1:1" x14ac:dyDescent="0.2">
      <c r="A4559" s="366"/>
    </row>
    <row r="4560" spans="1:1" x14ac:dyDescent="0.2">
      <c r="A4560" s="366"/>
    </row>
    <row r="4561" spans="1:1" x14ac:dyDescent="0.2">
      <c r="A4561" s="366"/>
    </row>
    <row r="4562" spans="1:1" x14ac:dyDescent="0.2">
      <c r="A4562" s="366"/>
    </row>
    <row r="4563" spans="1:1" x14ac:dyDescent="0.2">
      <c r="A4563" s="366"/>
    </row>
    <row r="4564" spans="1:1" x14ac:dyDescent="0.2">
      <c r="A4564" s="366"/>
    </row>
    <row r="4565" spans="1:1" x14ac:dyDescent="0.2">
      <c r="A4565" s="366"/>
    </row>
    <row r="4566" spans="1:1" x14ac:dyDescent="0.2">
      <c r="A4566" s="366"/>
    </row>
    <row r="4567" spans="1:1" x14ac:dyDescent="0.2">
      <c r="A4567" s="366"/>
    </row>
    <row r="4568" spans="1:1" x14ac:dyDescent="0.2">
      <c r="A4568" s="366"/>
    </row>
    <row r="4569" spans="1:1" x14ac:dyDescent="0.2">
      <c r="A4569" s="366"/>
    </row>
    <row r="4570" spans="1:1" x14ac:dyDescent="0.2">
      <c r="A4570" s="366"/>
    </row>
    <row r="4571" spans="1:1" x14ac:dyDescent="0.2">
      <c r="A4571" s="366"/>
    </row>
    <row r="4572" spans="1:1" x14ac:dyDescent="0.2">
      <c r="A4572" s="366"/>
    </row>
    <row r="4573" spans="1:1" x14ac:dyDescent="0.2">
      <c r="A4573" s="366"/>
    </row>
    <row r="4574" spans="1:1" x14ac:dyDescent="0.2">
      <c r="A4574" s="366"/>
    </row>
    <row r="4575" spans="1:1" x14ac:dyDescent="0.2">
      <c r="A4575" s="366"/>
    </row>
    <row r="4576" spans="1:1" x14ac:dyDescent="0.2">
      <c r="A4576" s="366"/>
    </row>
    <row r="4577" spans="1:1" x14ac:dyDescent="0.2">
      <c r="A4577" s="366"/>
    </row>
    <row r="4578" spans="1:1" x14ac:dyDescent="0.2">
      <c r="A4578" s="366"/>
    </row>
    <row r="4579" spans="1:1" x14ac:dyDescent="0.2">
      <c r="A4579" s="366"/>
    </row>
    <row r="4580" spans="1:1" x14ac:dyDescent="0.2">
      <c r="A4580" s="366"/>
    </row>
    <row r="4581" spans="1:1" x14ac:dyDescent="0.2">
      <c r="A4581" s="366"/>
    </row>
    <row r="4582" spans="1:1" x14ac:dyDescent="0.2">
      <c r="A4582" s="366"/>
    </row>
    <row r="4583" spans="1:1" x14ac:dyDescent="0.2">
      <c r="A4583" s="366"/>
    </row>
    <row r="4584" spans="1:1" x14ac:dyDescent="0.2">
      <c r="A4584" s="366"/>
    </row>
    <row r="4585" spans="1:1" x14ac:dyDescent="0.2">
      <c r="A4585" s="366"/>
    </row>
    <row r="4586" spans="1:1" x14ac:dyDescent="0.2">
      <c r="A4586" s="366"/>
    </row>
    <row r="4587" spans="1:1" x14ac:dyDescent="0.2">
      <c r="A4587" s="366"/>
    </row>
    <row r="4588" spans="1:1" x14ac:dyDescent="0.2">
      <c r="A4588" s="366"/>
    </row>
    <row r="4589" spans="1:1" x14ac:dyDescent="0.2">
      <c r="A4589" s="366"/>
    </row>
    <row r="4590" spans="1:1" x14ac:dyDescent="0.2">
      <c r="A4590" s="366"/>
    </row>
    <row r="4591" spans="1:1" x14ac:dyDescent="0.2">
      <c r="A4591" s="366"/>
    </row>
    <row r="4592" spans="1:1" x14ac:dyDescent="0.2">
      <c r="A4592" s="366"/>
    </row>
    <row r="4593" spans="1:1" x14ac:dyDescent="0.2">
      <c r="A4593" s="366"/>
    </row>
    <row r="4594" spans="1:1" x14ac:dyDescent="0.2">
      <c r="A4594" s="366"/>
    </row>
    <row r="4595" spans="1:1" x14ac:dyDescent="0.2">
      <c r="A4595" s="366"/>
    </row>
    <row r="4596" spans="1:1" x14ac:dyDescent="0.2">
      <c r="A4596" s="366"/>
    </row>
    <row r="4597" spans="1:1" x14ac:dyDescent="0.2">
      <c r="A4597" s="366"/>
    </row>
    <row r="4598" spans="1:1" x14ac:dyDescent="0.2">
      <c r="A4598" s="366"/>
    </row>
    <row r="4599" spans="1:1" x14ac:dyDescent="0.2">
      <c r="A4599" s="366"/>
    </row>
    <row r="4600" spans="1:1" x14ac:dyDescent="0.2">
      <c r="A4600" s="366"/>
    </row>
    <row r="4601" spans="1:1" x14ac:dyDescent="0.2">
      <c r="A4601" s="366"/>
    </row>
    <row r="4602" spans="1:1" x14ac:dyDescent="0.2">
      <c r="A4602" s="366"/>
    </row>
    <row r="4603" spans="1:1" x14ac:dyDescent="0.2">
      <c r="A4603" s="366"/>
    </row>
    <row r="4604" spans="1:1" x14ac:dyDescent="0.2">
      <c r="A4604" s="366"/>
    </row>
    <row r="4605" spans="1:1" x14ac:dyDescent="0.2">
      <c r="A4605" s="366"/>
    </row>
    <row r="4606" spans="1:1" x14ac:dyDescent="0.2">
      <c r="A4606" s="366"/>
    </row>
    <row r="4607" spans="1:1" x14ac:dyDescent="0.2">
      <c r="A4607" s="366"/>
    </row>
    <row r="4608" spans="1:1" x14ac:dyDescent="0.2">
      <c r="A4608" s="366"/>
    </row>
    <row r="4609" spans="1:1" x14ac:dyDescent="0.2">
      <c r="A4609" s="366"/>
    </row>
    <row r="4610" spans="1:1" x14ac:dyDescent="0.2">
      <c r="A4610" s="366"/>
    </row>
    <row r="4611" spans="1:1" x14ac:dyDescent="0.2">
      <c r="A4611" s="366"/>
    </row>
    <row r="4612" spans="1:1" x14ac:dyDescent="0.2">
      <c r="A4612" s="366"/>
    </row>
    <row r="4613" spans="1:1" x14ac:dyDescent="0.2">
      <c r="A4613" s="366"/>
    </row>
    <row r="4614" spans="1:1" x14ac:dyDescent="0.2">
      <c r="A4614" s="366"/>
    </row>
    <row r="4615" spans="1:1" x14ac:dyDescent="0.2">
      <c r="A4615" s="366"/>
    </row>
    <row r="4616" spans="1:1" x14ac:dyDescent="0.2">
      <c r="A4616" s="366"/>
    </row>
    <row r="4617" spans="1:1" x14ac:dyDescent="0.2">
      <c r="A4617" s="366"/>
    </row>
    <row r="4618" spans="1:1" x14ac:dyDescent="0.2">
      <c r="A4618" s="366"/>
    </row>
    <row r="4619" spans="1:1" x14ac:dyDescent="0.2">
      <c r="A4619" s="366"/>
    </row>
    <row r="4620" spans="1:1" x14ac:dyDescent="0.2">
      <c r="A4620" s="366"/>
    </row>
    <row r="4621" spans="1:1" x14ac:dyDescent="0.2">
      <c r="A4621" s="366"/>
    </row>
    <row r="4622" spans="1:1" x14ac:dyDescent="0.2">
      <c r="A4622" s="366"/>
    </row>
    <row r="4623" spans="1:1" x14ac:dyDescent="0.2">
      <c r="A4623" s="366"/>
    </row>
    <row r="4624" spans="1:1" x14ac:dyDescent="0.2">
      <c r="A4624" s="366"/>
    </row>
    <row r="4625" spans="1:1" x14ac:dyDescent="0.2">
      <c r="A4625" s="366"/>
    </row>
    <row r="4626" spans="1:1" x14ac:dyDescent="0.2">
      <c r="A4626" s="366"/>
    </row>
    <row r="4627" spans="1:1" x14ac:dyDescent="0.2">
      <c r="A4627" s="366"/>
    </row>
    <row r="4628" spans="1:1" x14ac:dyDescent="0.2">
      <c r="A4628" s="366"/>
    </row>
    <row r="4629" spans="1:1" x14ac:dyDescent="0.2">
      <c r="A4629" s="366"/>
    </row>
    <row r="4630" spans="1:1" x14ac:dyDescent="0.2">
      <c r="A4630" s="366"/>
    </row>
    <row r="4631" spans="1:1" x14ac:dyDescent="0.2">
      <c r="A4631" s="366"/>
    </row>
    <row r="4632" spans="1:1" x14ac:dyDescent="0.2">
      <c r="A4632" s="366"/>
    </row>
    <row r="4633" spans="1:1" x14ac:dyDescent="0.2">
      <c r="A4633" s="366"/>
    </row>
    <row r="4634" spans="1:1" x14ac:dyDescent="0.2">
      <c r="A4634" s="366"/>
    </row>
    <row r="4635" spans="1:1" x14ac:dyDescent="0.2">
      <c r="A4635" s="366"/>
    </row>
    <row r="4636" spans="1:1" x14ac:dyDescent="0.2">
      <c r="A4636" s="366"/>
    </row>
    <row r="4637" spans="1:1" x14ac:dyDescent="0.2">
      <c r="A4637" s="366"/>
    </row>
    <row r="4638" spans="1:1" x14ac:dyDescent="0.2">
      <c r="A4638" s="366"/>
    </row>
    <row r="4639" spans="1:1" x14ac:dyDescent="0.2">
      <c r="A4639" s="366"/>
    </row>
    <row r="4640" spans="1:1" x14ac:dyDescent="0.2">
      <c r="A4640" s="366"/>
    </row>
    <row r="4641" spans="1:1" x14ac:dyDescent="0.2">
      <c r="A4641" s="366"/>
    </row>
    <row r="4642" spans="1:1" x14ac:dyDescent="0.2">
      <c r="A4642" s="366"/>
    </row>
    <row r="4643" spans="1:1" x14ac:dyDescent="0.2">
      <c r="A4643" s="366"/>
    </row>
    <row r="4644" spans="1:1" x14ac:dyDescent="0.2">
      <c r="A4644" s="366"/>
    </row>
    <row r="4645" spans="1:1" x14ac:dyDescent="0.2">
      <c r="A4645" s="366"/>
    </row>
    <row r="4646" spans="1:1" x14ac:dyDescent="0.2">
      <c r="A4646" s="366"/>
    </row>
    <row r="4647" spans="1:1" x14ac:dyDescent="0.2">
      <c r="A4647" s="366"/>
    </row>
    <row r="4648" spans="1:1" x14ac:dyDescent="0.2">
      <c r="A4648" s="366"/>
    </row>
    <row r="4649" spans="1:1" x14ac:dyDescent="0.2">
      <c r="A4649" s="366"/>
    </row>
    <row r="4650" spans="1:1" x14ac:dyDescent="0.2">
      <c r="A4650" s="366"/>
    </row>
    <row r="4651" spans="1:1" x14ac:dyDescent="0.2">
      <c r="A4651" s="366"/>
    </row>
    <row r="4652" spans="1:1" x14ac:dyDescent="0.2">
      <c r="A4652" s="366"/>
    </row>
    <row r="4653" spans="1:1" x14ac:dyDescent="0.2">
      <c r="A4653" s="366"/>
    </row>
    <row r="4654" spans="1:1" x14ac:dyDescent="0.2">
      <c r="A4654" s="366"/>
    </row>
    <row r="4655" spans="1:1" x14ac:dyDescent="0.2">
      <c r="A4655" s="366"/>
    </row>
    <row r="4656" spans="1:1" x14ac:dyDescent="0.2">
      <c r="A4656" s="366"/>
    </row>
    <row r="4657" spans="1:1" x14ac:dyDescent="0.2">
      <c r="A4657" s="366"/>
    </row>
    <row r="4658" spans="1:1" x14ac:dyDescent="0.2">
      <c r="A4658" s="366"/>
    </row>
    <row r="4659" spans="1:1" x14ac:dyDescent="0.2">
      <c r="A4659" s="366"/>
    </row>
    <row r="4660" spans="1:1" x14ac:dyDescent="0.2">
      <c r="A4660" s="366"/>
    </row>
    <row r="4661" spans="1:1" x14ac:dyDescent="0.2">
      <c r="A4661" s="366"/>
    </row>
    <row r="4662" spans="1:1" x14ac:dyDescent="0.2">
      <c r="A4662" s="366"/>
    </row>
    <row r="4663" spans="1:1" x14ac:dyDescent="0.2">
      <c r="A4663" s="366"/>
    </row>
    <row r="4664" spans="1:1" x14ac:dyDescent="0.2">
      <c r="A4664" s="366"/>
    </row>
    <row r="4665" spans="1:1" x14ac:dyDescent="0.2">
      <c r="A4665" s="366"/>
    </row>
    <row r="4666" spans="1:1" x14ac:dyDescent="0.2">
      <c r="A4666" s="366"/>
    </row>
    <row r="4667" spans="1:1" x14ac:dyDescent="0.2">
      <c r="A4667" s="366"/>
    </row>
    <row r="4668" spans="1:1" x14ac:dyDescent="0.2">
      <c r="A4668" s="366"/>
    </row>
    <row r="4669" spans="1:1" x14ac:dyDescent="0.2">
      <c r="A4669" s="366"/>
    </row>
    <row r="4670" spans="1:1" x14ac:dyDescent="0.2">
      <c r="A4670" s="366"/>
    </row>
    <row r="4671" spans="1:1" x14ac:dyDescent="0.2">
      <c r="A4671" s="366"/>
    </row>
    <row r="4672" spans="1:1" x14ac:dyDescent="0.2">
      <c r="A4672" s="366"/>
    </row>
    <row r="4673" spans="1:1" x14ac:dyDescent="0.2">
      <c r="A4673" s="366"/>
    </row>
    <row r="4674" spans="1:1" x14ac:dyDescent="0.2">
      <c r="A4674" s="366"/>
    </row>
    <row r="4675" spans="1:1" x14ac:dyDescent="0.2">
      <c r="A4675" s="366"/>
    </row>
    <row r="4676" spans="1:1" x14ac:dyDescent="0.2">
      <c r="A4676" s="366"/>
    </row>
    <row r="4677" spans="1:1" x14ac:dyDescent="0.2">
      <c r="A4677" s="366"/>
    </row>
    <row r="4678" spans="1:1" x14ac:dyDescent="0.2">
      <c r="A4678" s="366"/>
    </row>
    <row r="4679" spans="1:1" x14ac:dyDescent="0.2">
      <c r="A4679" s="366"/>
    </row>
    <row r="4680" spans="1:1" x14ac:dyDescent="0.2">
      <c r="A4680" s="366"/>
    </row>
    <row r="4681" spans="1:1" x14ac:dyDescent="0.2">
      <c r="A4681" s="366"/>
    </row>
    <row r="4682" spans="1:1" x14ac:dyDescent="0.2">
      <c r="A4682" s="366"/>
    </row>
    <row r="4683" spans="1:1" x14ac:dyDescent="0.2">
      <c r="A4683" s="366"/>
    </row>
    <row r="4684" spans="1:1" x14ac:dyDescent="0.2">
      <c r="A4684" s="366"/>
    </row>
    <row r="4685" spans="1:1" x14ac:dyDescent="0.2">
      <c r="A4685" s="366"/>
    </row>
    <row r="4686" spans="1:1" x14ac:dyDescent="0.2">
      <c r="A4686" s="366"/>
    </row>
    <row r="4687" spans="1:1" x14ac:dyDescent="0.2">
      <c r="A4687" s="366"/>
    </row>
    <row r="4688" spans="1:1" x14ac:dyDescent="0.2">
      <c r="A4688" s="366"/>
    </row>
    <row r="4689" spans="1:1" x14ac:dyDescent="0.2">
      <c r="A4689" s="366"/>
    </row>
    <row r="4690" spans="1:1" x14ac:dyDescent="0.2">
      <c r="A4690" s="366"/>
    </row>
    <row r="4691" spans="1:1" x14ac:dyDescent="0.2">
      <c r="A4691" s="366"/>
    </row>
    <row r="4692" spans="1:1" x14ac:dyDescent="0.2">
      <c r="A4692" s="366"/>
    </row>
    <row r="4693" spans="1:1" x14ac:dyDescent="0.2">
      <c r="A4693" s="366"/>
    </row>
    <row r="4694" spans="1:1" x14ac:dyDescent="0.2">
      <c r="A4694" s="366"/>
    </row>
    <row r="4695" spans="1:1" x14ac:dyDescent="0.2">
      <c r="A4695" s="366"/>
    </row>
    <row r="4696" spans="1:1" x14ac:dyDescent="0.2">
      <c r="A4696" s="366"/>
    </row>
    <row r="4697" spans="1:1" x14ac:dyDescent="0.2">
      <c r="A4697" s="366"/>
    </row>
    <row r="4698" spans="1:1" x14ac:dyDescent="0.2">
      <c r="A4698" s="366"/>
    </row>
    <row r="4699" spans="1:1" x14ac:dyDescent="0.2">
      <c r="A4699" s="366"/>
    </row>
    <row r="4700" spans="1:1" x14ac:dyDescent="0.2">
      <c r="A4700" s="366"/>
    </row>
    <row r="4701" spans="1:1" x14ac:dyDescent="0.2">
      <c r="A4701" s="366"/>
    </row>
    <row r="4702" spans="1:1" x14ac:dyDescent="0.2">
      <c r="A4702" s="366"/>
    </row>
    <row r="4703" spans="1:1" x14ac:dyDescent="0.2">
      <c r="A4703" s="366"/>
    </row>
    <row r="4704" spans="1:1" x14ac:dyDescent="0.2">
      <c r="A4704" s="366"/>
    </row>
    <row r="4705" spans="1:1" x14ac:dyDescent="0.2">
      <c r="A4705" s="366"/>
    </row>
    <row r="4706" spans="1:1" x14ac:dyDescent="0.2">
      <c r="A4706" s="366"/>
    </row>
    <row r="4707" spans="1:1" x14ac:dyDescent="0.2">
      <c r="A4707" s="366"/>
    </row>
    <row r="4708" spans="1:1" x14ac:dyDescent="0.2">
      <c r="A4708" s="366"/>
    </row>
    <row r="4709" spans="1:1" x14ac:dyDescent="0.2">
      <c r="A4709" s="366"/>
    </row>
    <row r="4710" spans="1:1" x14ac:dyDescent="0.2">
      <c r="A4710" s="366"/>
    </row>
    <row r="4711" spans="1:1" x14ac:dyDescent="0.2">
      <c r="A4711" s="366"/>
    </row>
    <row r="4712" spans="1:1" x14ac:dyDescent="0.2">
      <c r="A4712" s="366"/>
    </row>
    <row r="4713" spans="1:1" x14ac:dyDescent="0.2">
      <c r="A4713" s="366"/>
    </row>
    <row r="4714" spans="1:1" x14ac:dyDescent="0.2">
      <c r="A4714" s="366"/>
    </row>
    <row r="4715" spans="1:1" x14ac:dyDescent="0.2">
      <c r="A4715" s="366"/>
    </row>
    <row r="4716" spans="1:1" x14ac:dyDescent="0.2">
      <c r="A4716" s="366"/>
    </row>
    <row r="4717" spans="1:1" x14ac:dyDescent="0.2">
      <c r="A4717" s="366"/>
    </row>
    <row r="4718" spans="1:1" x14ac:dyDescent="0.2">
      <c r="A4718" s="366"/>
    </row>
    <row r="4719" spans="1:1" x14ac:dyDescent="0.2">
      <c r="A4719" s="366"/>
    </row>
    <row r="4720" spans="1:1" x14ac:dyDescent="0.2">
      <c r="A4720" s="366"/>
    </row>
    <row r="4721" spans="1:1" x14ac:dyDescent="0.2">
      <c r="A4721" s="366"/>
    </row>
    <row r="4722" spans="1:1" x14ac:dyDescent="0.2">
      <c r="A4722" s="366"/>
    </row>
    <row r="4723" spans="1:1" x14ac:dyDescent="0.2">
      <c r="A4723" s="366"/>
    </row>
    <row r="4724" spans="1:1" x14ac:dyDescent="0.2">
      <c r="A4724" s="366"/>
    </row>
    <row r="4725" spans="1:1" x14ac:dyDescent="0.2">
      <c r="A4725" s="366"/>
    </row>
    <row r="4726" spans="1:1" x14ac:dyDescent="0.2">
      <c r="A4726" s="366"/>
    </row>
    <row r="4727" spans="1:1" x14ac:dyDescent="0.2">
      <c r="A4727" s="366"/>
    </row>
    <row r="4728" spans="1:1" x14ac:dyDescent="0.2">
      <c r="A4728" s="366"/>
    </row>
    <row r="4729" spans="1:1" x14ac:dyDescent="0.2">
      <c r="A4729" s="366"/>
    </row>
    <row r="4730" spans="1:1" x14ac:dyDescent="0.2">
      <c r="A4730" s="366"/>
    </row>
    <row r="4731" spans="1:1" x14ac:dyDescent="0.2">
      <c r="A4731" s="366"/>
    </row>
    <row r="4732" spans="1:1" x14ac:dyDescent="0.2">
      <c r="A4732" s="366"/>
    </row>
    <row r="4733" spans="1:1" x14ac:dyDescent="0.2">
      <c r="A4733" s="366"/>
    </row>
    <row r="4734" spans="1:1" x14ac:dyDescent="0.2">
      <c r="A4734" s="366"/>
    </row>
    <row r="4735" spans="1:1" x14ac:dyDescent="0.2">
      <c r="A4735" s="366"/>
    </row>
    <row r="4736" spans="1:1" x14ac:dyDescent="0.2">
      <c r="A4736" s="366"/>
    </row>
    <row r="4737" spans="1:1" x14ac:dyDescent="0.2">
      <c r="A4737" s="366"/>
    </row>
    <row r="4738" spans="1:1" x14ac:dyDescent="0.2">
      <c r="A4738" s="366"/>
    </row>
    <row r="4739" spans="1:1" x14ac:dyDescent="0.2">
      <c r="A4739" s="366"/>
    </row>
    <row r="4740" spans="1:1" x14ac:dyDescent="0.2">
      <c r="A4740" s="366"/>
    </row>
    <row r="4741" spans="1:1" x14ac:dyDescent="0.2">
      <c r="A4741" s="366"/>
    </row>
    <row r="4742" spans="1:1" x14ac:dyDescent="0.2">
      <c r="A4742" s="366"/>
    </row>
    <row r="4743" spans="1:1" x14ac:dyDescent="0.2">
      <c r="A4743" s="366"/>
    </row>
    <row r="4744" spans="1:1" x14ac:dyDescent="0.2">
      <c r="A4744" s="366"/>
    </row>
    <row r="4745" spans="1:1" x14ac:dyDescent="0.2">
      <c r="A4745" s="366"/>
    </row>
    <row r="4746" spans="1:1" x14ac:dyDescent="0.2">
      <c r="A4746" s="366"/>
    </row>
    <row r="4747" spans="1:1" x14ac:dyDescent="0.2">
      <c r="A4747" s="366"/>
    </row>
    <row r="4748" spans="1:1" x14ac:dyDescent="0.2">
      <c r="A4748" s="366"/>
    </row>
    <row r="4749" spans="1:1" x14ac:dyDescent="0.2">
      <c r="A4749" s="366"/>
    </row>
    <row r="4750" spans="1:1" x14ac:dyDescent="0.2">
      <c r="A4750" s="366"/>
    </row>
    <row r="4751" spans="1:1" x14ac:dyDescent="0.2">
      <c r="A4751" s="366"/>
    </row>
    <row r="4752" spans="1:1" x14ac:dyDescent="0.2">
      <c r="A4752" s="366"/>
    </row>
    <row r="4753" spans="1:1" x14ac:dyDescent="0.2">
      <c r="A4753" s="366"/>
    </row>
    <row r="4754" spans="1:1" x14ac:dyDescent="0.2">
      <c r="A4754" s="366"/>
    </row>
    <row r="4755" spans="1:1" x14ac:dyDescent="0.2">
      <c r="A4755" s="366"/>
    </row>
    <row r="4756" spans="1:1" x14ac:dyDescent="0.2">
      <c r="A4756" s="366"/>
    </row>
    <row r="4757" spans="1:1" x14ac:dyDescent="0.2">
      <c r="A4757" s="366"/>
    </row>
    <row r="4758" spans="1:1" x14ac:dyDescent="0.2">
      <c r="A4758" s="366"/>
    </row>
    <row r="4759" spans="1:1" x14ac:dyDescent="0.2">
      <c r="A4759" s="366"/>
    </row>
    <row r="4760" spans="1:1" x14ac:dyDescent="0.2">
      <c r="A4760" s="366"/>
    </row>
    <row r="4761" spans="1:1" x14ac:dyDescent="0.2">
      <c r="A4761" s="366"/>
    </row>
    <row r="4762" spans="1:1" x14ac:dyDescent="0.2">
      <c r="A4762" s="366"/>
    </row>
    <row r="4763" spans="1:1" x14ac:dyDescent="0.2">
      <c r="A4763" s="366"/>
    </row>
    <row r="4764" spans="1:1" x14ac:dyDescent="0.2">
      <c r="A4764" s="366"/>
    </row>
    <row r="4765" spans="1:1" x14ac:dyDescent="0.2">
      <c r="A4765" s="366"/>
    </row>
    <row r="4766" spans="1:1" x14ac:dyDescent="0.2">
      <c r="A4766" s="366"/>
    </row>
    <row r="4767" spans="1:1" x14ac:dyDescent="0.2">
      <c r="A4767" s="366"/>
    </row>
    <row r="4768" spans="1:1" x14ac:dyDescent="0.2">
      <c r="A4768" s="366"/>
    </row>
    <row r="4769" spans="1:1" x14ac:dyDescent="0.2">
      <c r="A4769" s="366"/>
    </row>
    <row r="4770" spans="1:1" x14ac:dyDescent="0.2">
      <c r="A4770" s="366"/>
    </row>
    <row r="4771" spans="1:1" x14ac:dyDescent="0.2">
      <c r="A4771" s="366"/>
    </row>
    <row r="4772" spans="1:1" x14ac:dyDescent="0.2">
      <c r="A4772" s="366"/>
    </row>
    <row r="4773" spans="1:1" x14ac:dyDescent="0.2">
      <c r="A4773" s="366"/>
    </row>
    <row r="4774" spans="1:1" x14ac:dyDescent="0.2">
      <c r="A4774" s="366"/>
    </row>
    <row r="4775" spans="1:1" x14ac:dyDescent="0.2">
      <c r="A4775" s="366"/>
    </row>
    <row r="4776" spans="1:1" x14ac:dyDescent="0.2">
      <c r="A4776" s="366"/>
    </row>
    <row r="4777" spans="1:1" x14ac:dyDescent="0.2">
      <c r="A4777" s="366"/>
    </row>
    <row r="4778" spans="1:1" x14ac:dyDescent="0.2">
      <c r="A4778" s="366"/>
    </row>
    <row r="4779" spans="1:1" x14ac:dyDescent="0.2">
      <c r="A4779" s="366"/>
    </row>
    <row r="4780" spans="1:1" x14ac:dyDescent="0.2">
      <c r="A4780" s="366"/>
    </row>
    <row r="4781" spans="1:1" x14ac:dyDescent="0.2">
      <c r="A4781" s="366"/>
    </row>
    <row r="4782" spans="1:1" x14ac:dyDescent="0.2">
      <c r="A4782" s="366"/>
    </row>
    <row r="4783" spans="1:1" x14ac:dyDescent="0.2">
      <c r="A4783" s="366"/>
    </row>
    <row r="4784" spans="1:1" x14ac:dyDescent="0.2">
      <c r="A4784" s="366"/>
    </row>
    <row r="4785" spans="1:1" x14ac:dyDescent="0.2">
      <c r="A4785" s="366"/>
    </row>
    <row r="4786" spans="1:1" x14ac:dyDescent="0.2">
      <c r="A4786" s="366"/>
    </row>
    <row r="4787" spans="1:1" x14ac:dyDescent="0.2">
      <c r="A4787" s="366"/>
    </row>
    <row r="4788" spans="1:1" x14ac:dyDescent="0.2">
      <c r="A4788" s="366"/>
    </row>
    <row r="4789" spans="1:1" x14ac:dyDescent="0.2">
      <c r="A4789" s="366"/>
    </row>
    <row r="4790" spans="1:1" x14ac:dyDescent="0.2">
      <c r="A4790" s="366"/>
    </row>
    <row r="4791" spans="1:1" x14ac:dyDescent="0.2">
      <c r="A4791" s="366"/>
    </row>
    <row r="4792" spans="1:1" x14ac:dyDescent="0.2">
      <c r="A4792" s="366"/>
    </row>
    <row r="4793" spans="1:1" x14ac:dyDescent="0.2">
      <c r="A4793" s="366"/>
    </row>
    <row r="4794" spans="1:1" x14ac:dyDescent="0.2">
      <c r="A4794" s="366"/>
    </row>
    <row r="4795" spans="1:1" x14ac:dyDescent="0.2">
      <c r="A4795" s="366"/>
    </row>
    <row r="4796" spans="1:1" x14ac:dyDescent="0.2">
      <c r="A4796" s="366"/>
    </row>
    <row r="4797" spans="1:1" x14ac:dyDescent="0.2">
      <c r="A4797" s="366"/>
    </row>
    <row r="4798" spans="1:1" x14ac:dyDescent="0.2">
      <c r="A4798" s="366"/>
    </row>
    <row r="4799" spans="1:1" x14ac:dyDescent="0.2">
      <c r="A4799" s="366"/>
    </row>
    <row r="4800" spans="1:1" x14ac:dyDescent="0.2">
      <c r="A4800" s="366"/>
    </row>
    <row r="4801" spans="1:1" x14ac:dyDescent="0.2">
      <c r="A4801" s="366"/>
    </row>
    <row r="4802" spans="1:1" x14ac:dyDescent="0.2">
      <c r="A4802" s="366"/>
    </row>
    <row r="4803" spans="1:1" x14ac:dyDescent="0.2">
      <c r="A4803" s="366"/>
    </row>
    <row r="4804" spans="1:1" x14ac:dyDescent="0.2">
      <c r="A4804" s="366"/>
    </row>
    <row r="4805" spans="1:1" x14ac:dyDescent="0.2">
      <c r="A4805" s="366"/>
    </row>
    <row r="4806" spans="1:1" x14ac:dyDescent="0.2">
      <c r="A4806" s="366"/>
    </row>
    <row r="4807" spans="1:1" x14ac:dyDescent="0.2">
      <c r="A4807" s="366"/>
    </row>
    <row r="4808" spans="1:1" x14ac:dyDescent="0.2">
      <c r="A4808" s="366"/>
    </row>
    <row r="4809" spans="1:1" x14ac:dyDescent="0.2">
      <c r="A4809" s="366"/>
    </row>
    <row r="4810" spans="1:1" x14ac:dyDescent="0.2">
      <c r="A4810" s="366"/>
    </row>
    <row r="4811" spans="1:1" x14ac:dyDescent="0.2">
      <c r="A4811" s="366"/>
    </row>
    <row r="4812" spans="1:1" x14ac:dyDescent="0.2">
      <c r="A4812" s="366"/>
    </row>
    <row r="4813" spans="1:1" x14ac:dyDescent="0.2">
      <c r="A4813" s="366"/>
    </row>
    <row r="4814" spans="1:1" x14ac:dyDescent="0.2">
      <c r="A4814" s="366"/>
    </row>
    <row r="4815" spans="1:1" x14ac:dyDescent="0.2">
      <c r="A4815" s="366"/>
    </row>
    <row r="4816" spans="1:1" x14ac:dyDescent="0.2">
      <c r="A4816" s="366"/>
    </row>
    <row r="4817" spans="1:1" x14ac:dyDescent="0.2">
      <c r="A4817" s="366"/>
    </row>
    <row r="4818" spans="1:1" x14ac:dyDescent="0.2">
      <c r="A4818" s="366"/>
    </row>
    <row r="4819" spans="1:1" x14ac:dyDescent="0.2">
      <c r="A4819" s="366"/>
    </row>
    <row r="4820" spans="1:1" x14ac:dyDescent="0.2">
      <c r="A4820" s="366"/>
    </row>
    <row r="4821" spans="1:1" x14ac:dyDescent="0.2">
      <c r="A4821" s="366"/>
    </row>
    <row r="4822" spans="1:1" x14ac:dyDescent="0.2">
      <c r="A4822" s="366"/>
    </row>
    <row r="4823" spans="1:1" x14ac:dyDescent="0.2">
      <c r="A4823" s="366"/>
    </row>
    <row r="4824" spans="1:1" x14ac:dyDescent="0.2">
      <c r="A4824" s="366"/>
    </row>
    <row r="4825" spans="1:1" x14ac:dyDescent="0.2">
      <c r="A4825" s="366"/>
    </row>
    <row r="4826" spans="1:1" x14ac:dyDescent="0.2">
      <c r="A4826" s="366"/>
    </row>
    <row r="4827" spans="1:1" x14ac:dyDescent="0.2">
      <c r="A4827" s="366"/>
    </row>
    <row r="4828" spans="1:1" x14ac:dyDescent="0.2">
      <c r="A4828" s="366"/>
    </row>
    <row r="4829" spans="1:1" x14ac:dyDescent="0.2">
      <c r="A4829" s="366"/>
    </row>
    <row r="4830" spans="1:1" x14ac:dyDescent="0.2">
      <c r="A4830" s="366"/>
    </row>
    <row r="4831" spans="1:1" x14ac:dyDescent="0.2">
      <c r="A4831" s="366"/>
    </row>
    <row r="4832" spans="1:1" x14ac:dyDescent="0.2">
      <c r="A4832" s="366"/>
    </row>
    <row r="4833" spans="1:1" x14ac:dyDescent="0.2">
      <c r="A4833" s="366"/>
    </row>
    <row r="4834" spans="1:1" x14ac:dyDescent="0.2">
      <c r="A4834" s="366"/>
    </row>
    <row r="4835" spans="1:1" x14ac:dyDescent="0.2">
      <c r="A4835" s="366"/>
    </row>
    <row r="4836" spans="1:1" x14ac:dyDescent="0.2">
      <c r="A4836" s="366"/>
    </row>
    <row r="4837" spans="1:1" x14ac:dyDescent="0.2">
      <c r="A4837" s="366"/>
    </row>
    <row r="4838" spans="1:1" x14ac:dyDescent="0.2">
      <c r="A4838" s="366"/>
    </row>
    <row r="4839" spans="1:1" x14ac:dyDescent="0.2">
      <c r="A4839" s="366"/>
    </row>
    <row r="4840" spans="1:1" x14ac:dyDescent="0.2">
      <c r="A4840" s="366"/>
    </row>
    <row r="4841" spans="1:1" x14ac:dyDescent="0.2">
      <c r="A4841" s="366"/>
    </row>
    <row r="4842" spans="1:1" x14ac:dyDescent="0.2">
      <c r="A4842" s="366"/>
    </row>
    <row r="4843" spans="1:1" x14ac:dyDescent="0.2">
      <c r="A4843" s="366"/>
    </row>
    <row r="4844" spans="1:1" x14ac:dyDescent="0.2">
      <c r="A4844" s="366"/>
    </row>
    <row r="4845" spans="1:1" x14ac:dyDescent="0.2">
      <c r="A4845" s="366"/>
    </row>
    <row r="4846" spans="1:1" x14ac:dyDescent="0.2">
      <c r="A4846" s="366"/>
    </row>
    <row r="4847" spans="1:1" x14ac:dyDescent="0.2">
      <c r="A4847" s="366"/>
    </row>
    <row r="4848" spans="1:1" x14ac:dyDescent="0.2">
      <c r="A4848" s="366"/>
    </row>
    <row r="4849" spans="1:1" x14ac:dyDescent="0.2">
      <c r="A4849" s="366"/>
    </row>
    <row r="4850" spans="1:1" x14ac:dyDescent="0.2">
      <c r="A4850" s="366"/>
    </row>
    <row r="4851" spans="1:1" x14ac:dyDescent="0.2">
      <c r="A4851" s="366"/>
    </row>
    <row r="4852" spans="1:1" x14ac:dyDescent="0.2">
      <c r="A4852" s="366"/>
    </row>
    <row r="4853" spans="1:1" x14ac:dyDescent="0.2">
      <c r="A4853" s="366"/>
    </row>
    <row r="4854" spans="1:1" x14ac:dyDescent="0.2">
      <c r="A4854" s="366"/>
    </row>
    <row r="4855" spans="1:1" x14ac:dyDescent="0.2">
      <c r="A4855" s="366"/>
    </row>
    <row r="4856" spans="1:1" x14ac:dyDescent="0.2">
      <c r="A4856" s="366"/>
    </row>
    <row r="4857" spans="1:1" x14ac:dyDescent="0.2">
      <c r="A4857" s="366"/>
    </row>
    <row r="4858" spans="1:1" x14ac:dyDescent="0.2">
      <c r="A4858" s="366"/>
    </row>
    <row r="4859" spans="1:1" x14ac:dyDescent="0.2">
      <c r="A4859" s="366"/>
    </row>
    <row r="4860" spans="1:1" x14ac:dyDescent="0.2">
      <c r="A4860" s="366"/>
    </row>
    <row r="4861" spans="1:1" x14ac:dyDescent="0.2">
      <c r="A4861" s="366"/>
    </row>
    <row r="4862" spans="1:1" x14ac:dyDescent="0.2">
      <c r="A4862" s="366"/>
    </row>
    <row r="4863" spans="1:1" x14ac:dyDescent="0.2">
      <c r="A4863" s="366"/>
    </row>
    <row r="4864" spans="1:1" x14ac:dyDescent="0.2">
      <c r="A4864" s="366"/>
    </row>
    <row r="4865" spans="1:1" x14ac:dyDescent="0.2">
      <c r="A4865" s="366"/>
    </row>
    <row r="4866" spans="1:1" x14ac:dyDescent="0.2">
      <c r="A4866" s="366"/>
    </row>
    <row r="4867" spans="1:1" x14ac:dyDescent="0.2">
      <c r="A4867" s="366"/>
    </row>
    <row r="4868" spans="1:1" x14ac:dyDescent="0.2">
      <c r="A4868" s="366"/>
    </row>
    <row r="4869" spans="1:1" x14ac:dyDescent="0.2">
      <c r="A4869" s="366"/>
    </row>
    <row r="4870" spans="1:1" x14ac:dyDescent="0.2">
      <c r="A4870" s="366"/>
    </row>
    <row r="4871" spans="1:1" x14ac:dyDescent="0.2">
      <c r="A4871" s="366"/>
    </row>
    <row r="4872" spans="1:1" x14ac:dyDescent="0.2">
      <c r="A4872" s="366"/>
    </row>
    <row r="4873" spans="1:1" x14ac:dyDescent="0.2">
      <c r="A4873" s="366"/>
    </row>
    <row r="4874" spans="1:1" x14ac:dyDescent="0.2">
      <c r="A4874" s="366"/>
    </row>
    <row r="4875" spans="1:1" x14ac:dyDescent="0.2">
      <c r="A4875" s="366"/>
    </row>
    <row r="4876" spans="1:1" x14ac:dyDescent="0.2">
      <c r="A4876" s="366"/>
    </row>
    <row r="4877" spans="1:1" x14ac:dyDescent="0.2">
      <c r="A4877" s="366"/>
    </row>
    <row r="4878" spans="1:1" x14ac:dyDescent="0.2">
      <c r="A4878" s="366"/>
    </row>
    <row r="4879" spans="1:1" x14ac:dyDescent="0.2">
      <c r="A4879" s="366"/>
    </row>
    <row r="4880" spans="1:1" x14ac:dyDescent="0.2">
      <c r="A4880" s="366"/>
    </row>
    <row r="4881" spans="1:1" x14ac:dyDescent="0.2">
      <c r="A4881" s="366"/>
    </row>
    <row r="4882" spans="1:1" x14ac:dyDescent="0.2">
      <c r="A4882" s="366"/>
    </row>
    <row r="4883" spans="1:1" x14ac:dyDescent="0.2">
      <c r="A4883" s="366"/>
    </row>
    <row r="4884" spans="1:1" x14ac:dyDescent="0.2">
      <c r="A4884" s="366"/>
    </row>
    <row r="4885" spans="1:1" x14ac:dyDescent="0.2">
      <c r="A4885" s="366"/>
    </row>
    <row r="4886" spans="1:1" x14ac:dyDescent="0.2">
      <c r="A4886" s="366"/>
    </row>
    <row r="4887" spans="1:1" x14ac:dyDescent="0.2">
      <c r="A4887" s="366"/>
    </row>
    <row r="4888" spans="1:1" x14ac:dyDescent="0.2">
      <c r="A4888" s="366"/>
    </row>
    <row r="4889" spans="1:1" x14ac:dyDescent="0.2">
      <c r="A4889" s="366"/>
    </row>
    <row r="4890" spans="1:1" x14ac:dyDescent="0.2">
      <c r="A4890" s="366"/>
    </row>
    <row r="4891" spans="1:1" x14ac:dyDescent="0.2">
      <c r="A4891" s="366"/>
    </row>
    <row r="4892" spans="1:1" x14ac:dyDescent="0.2">
      <c r="A4892" s="366"/>
    </row>
    <row r="4893" spans="1:1" x14ac:dyDescent="0.2">
      <c r="A4893" s="366"/>
    </row>
    <row r="4894" spans="1:1" x14ac:dyDescent="0.2">
      <c r="A4894" s="366"/>
    </row>
    <row r="4895" spans="1:1" x14ac:dyDescent="0.2">
      <c r="A4895" s="366"/>
    </row>
    <row r="4896" spans="1:1" x14ac:dyDescent="0.2">
      <c r="A4896" s="366"/>
    </row>
    <row r="4897" spans="1:1" x14ac:dyDescent="0.2">
      <c r="A4897" s="366"/>
    </row>
    <row r="4898" spans="1:1" x14ac:dyDescent="0.2">
      <c r="A4898" s="366"/>
    </row>
    <row r="4899" spans="1:1" x14ac:dyDescent="0.2">
      <c r="A4899" s="366"/>
    </row>
    <row r="4900" spans="1:1" x14ac:dyDescent="0.2">
      <c r="A4900" s="366"/>
    </row>
    <row r="4901" spans="1:1" x14ac:dyDescent="0.2">
      <c r="A4901" s="366"/>
    </row>
    <row r="4902" spans="1:1" x14ac:dyDescent="0.2">
      <c r="A4902" s="366"/>
    </row>
    <row r="4903" spans="1:1" x14ac:dyDescent="0.2">
      <c r="A4903" s="366"/>
    </row>
    <row r="4904" spans="1:1" x14ac:dyDescent="0.2">
      <c r="A4904" s="366"/>
    </row>
    <row r="4905" spans="1:1" x14ac:dyDescent="0.2">
      <c r="A4905" s="366"/>
    </row>
    <row r="4906" spans="1:1" x14ac:dyDescent="0.2">
      <c r="A4906" s="366"/>
    </row>
    <row r="4907" spans="1:1" x14ac:dyDescent="0.2">
      <c r="A4907" s="366"/>
    </row>
    <row r="4908" spans="1:1" x14ac:dyDescent="0.2">
      <c r="A4908" s="366"/>
    </row>
    <row r="4909" spans="1:1" x14ac:dyDescent="0.2">
      <c r="A4909" s="366"/>
    </row>
    <row r="4910" spans="1:1" x14ac:dyDescent="0.2">
      <c r="A4910" s="366"/>
    </row>
    <row r="4911" spans="1:1" x14ac:dyDescent="0.2">
      <c r="A4911" s="366"/>
    </row>
    <row r="4912" spans="1:1" x14ac:dyDescent="0.2">
      <c r="A4912" s="366"/>
    </row>
    <row r="4913" spans="1:1" x14ac:dyDescent="0.2">
      <c r="A4913" s="366"/>
    </row>
    <row r="4914" spans="1:1" x14ac:dyDescent="0.2">
      <c r="A4914" s="366"/>
    </row>
    <row r="4915" spans="1:1" x14ac:dyDescent="0.2">
      <c r="A4915" s="366"/>
    </row>
    <row r="4916" spans="1:1" x14ac:dyDescent="0.2">
      <c r="A4916" s="366"/>
    </row>
    <row r="4917" spans="1:1" x14ac:dyDescent="0.2">
      <c r="A4917" s="366"/>
    </row>
    <row r="4918" spans="1:1" x14ac:dyDescent="0.2">
      <c r="A4918" s="366"/>
    </row>
    <row r="4919" spans="1:1" x14ac:dyDescent="0.2">
      <c r="A4919" s="366"/>
    </row>
    <row r="4920" spans="1:1" x14ac:dyDescent="0.2">
      <c r="A4920" s="366"/>
    </row>
    <row r="4921" spans="1:1" x14ac:dyDescent="0.2">
      <c r="A4921" s="366"/>
    </row>
    <row r="4922" spans="1:1" x14ac:dyDescent="0.2">
      <c r="A4922" s="366"/>
    </row>
    <row r="4923" spans="1:1" x14ac:dyDescent="0.2">
      <c r="A4923" s="366"/>
    </row>
    <row r="4924" spans="1:1" x14ac:dyDescent="0.2">
      <c r="A4924" s="366"/>
    </row>
    <row r="4925" spans="1:1" x14ac:dyDescent="0.2">
      <c r="A4925" s="366"/>
    </row>
    <row r="4926" spans="1:1" x14ac:dyDescent="0.2">
      <c r="A4926" s="366"/>
    </row>
    <row r="4927" spans="1:1" x14ac:dyDescent="0.2">
      <c r="A4927" s="366"/>
    </row>
    <row r="4928" spans="1:1" x14ac:dyDescent="0.2">
      <c r="A4928" s="366"/>
    </row>
    <row r="4929" spans="1:1" x14ac:dyDescent="0.2">
      <c r="A4929" s="366"/>
    </row>
    <row r="4930" spans="1:1" x14ac:dyDescent="0.2">
      <c r="A4930" s="366"/>
    </row>
    <row r="4931" spans="1:1" x14ac:dyDescent="0.2">
      <c r="A4931" s="366"/>
    </row>
    <row r="4932" spans="1:1" x14ac:dyDescent="0.2">
      <c r="A4932" s="366"/>
    </row>
    <row r="4933" spans="1:1" x14ac:dyDescent="0.2">
      <c r="A4933" s="366"/>
    </row>
    <row r="4934" spans="1:1" x14ac:dyDescent="0.2">
      <c r="A4934" s="366"/>
    </row>
    <row r="4935" spans="1:1" x14ac:dyDescent="0.2">
      <c r="A4935" s="366"/>
    </row>
    <row r="4936" spans="1:1" x14ac:dyDescent="0.2">
      <c r="A4936" s="366"/>
    </row>
    <row r="4937" spans="1:1" x14ac:dyDescent="0.2">
      <c r="A4937" s="366"/>
    </row>
    <row r="4938" spans="1:1" x14ac:dyDescent="0.2">
      <c r="A4938" s="366"/>
    </row>
    <row r="4939" spans="1:1" x14ac:dyDescent="0.2">
      <c r="A4939" s="366"/>
    </row>
    <row r="4940" spans="1:1" x14ac:dyDescent="0.2">
      <c r="A4940" s="366"/>
    </row>
    <row r="4941" spans="1:1" x14ac:dyDescent="0.2">
      <c r="A4941" s="366"/>
    </row>
    <row r="4942" spans="1:1" x14ac:dyDescent="0.2">
      <c r="A4942" s="366"/>
    </row>
    <row r="4943" spans="1:1" x14ac:dyDescent="0.2">
      <c r="A4943" s="366"/>
    </row>
    <row r="4944" spans="1:1" x14ac:dyDescent="0.2">
      <c r="A4944" s="366"/>
    </row>
    <row r="4945" spans="1:1" x14ac:dyDescent="0.2">
      <c r="A4945" s="366"/>
    </row>
    <row r="4946" spans="1:1" x14ac:dyDescent="0.2">
      <c r="A4946" s="366"/>
    </row>
    <row r="4947" spans="1:1" x14ac:dyDescent="0.2">
      <c r="A4947" s="366"/>
    </row>
    <row r="4948" spans="1:1" x14ac:dyDescent="0.2">
      <c r="A4948" s="366"/>
    </row>
    <row r="4949" spans="1:1" x14ac:dyDescent="0.2">
      <c r="A4949" s="366"/>
    </row>
    <row r="4950" spans="1:1" x14ac:dyDescent="0.2">
      <c r="A4950" s="366"/>
    </row>
    <row r="4951" spans="1:1" x14ac:dyDescent="0.2">
      <c r="A4951" s="366"/>
    </row>
    <row r="4952" spans="1:1" x14ac:dyDescent="0.2">
      <c r="A4952" s="366"/>
    </row>
    <row r="4953" spans="1:1" x14ac:dyDescent="0.2">
      <c r="A4953" s="366"/>
    </row>
    <row r="4954" spans="1:1" x14ac:dyDescent="0.2">
      <c r="A4954" s="366"/>
    </row>
    <row r="4955" spans="1:1" x14ac:dyDescent="0.2">
      <c r="A4955" s="366"/>
    </row>
    <row r="4956" spans="1:1" x14ac:dyDescent="0.2">
      <c r="A4956" s="366"/>
    </row>
    <row r="4957" spans="1:1" x14ac:dyDescent="0.2">
      <c r="A4957" s="366"/>
    </row>
    <row r="4958" spans="1:1" x14ac:dyDescent="0.2">
      <c r="A4958" s="366"/>
    </row>
    <row r="4959" spans="1:1" x14ac:dyDescent="0.2">
      <c r="A4959" s="366"/>
    </row>
    <row r="4960" spans="1:1" x14ac:dyDescent="0.2">
      <c r="A4960" s="366"/>
    </row>
    <row r="4961" spans="1:1" x14ac:dyDescent="0.2">
      <c r="A4961" s="366"/>
    </row>
    <row r="4962" spans="1:1" x14ac:dyDescent="0.2">
      <c r="A4962" s="366"/>
    </row>
    <row r="4963" spans="1:1" x14ac:dyDescent="0.2">
      <c r="A4963" s="366"/>
    </row>
    <row r="4964" spans="1:1" x14ac:dyDescent="0.2">
      <c r="A4964" s="366"/>
    </row>
    <row r="4965" spans="1:1" x14ac:dyDescent="0.2">
      <c r="A4965" s="366"/>
    </row>
    <row r="4966" spans="1:1" x14ac:dyDescent="0.2">
      <c r="A4966" s="366"/>
    </row>
    <row r="4967" spans="1:1" x14ac:dyDescent="0.2">
      <c r="A4967" s="366"/>
    </row>
    <row r="4968" spans="1:1" x14ac:dyDescent="0.2">
      <c r="A4968" s="366"/>
    </row>
    <row r="4969" spans="1:1" x14ac:dyDescent="0.2">
      <c r="A4969" s="366"/>
    </row>
    <row r="4970" spans="1:1" x14ac:dyDescent="0.2">
      <c r="A4970" s="366"/>
    </row>
    <row r="4971" spans="1:1" x14ac:dyDescent="0.2">
      <c r="A4971" s="366"/>
    </row>
    <row r="4972" spans="1:1" x14ac:dyDescent="0.2">
      <c r="A4972" s="366"/>
    </row>
    <row r="4973" spans="1:1" x14ac:dyDescent="0.2">
      <c r="A4973" s="366"/>
    </row>
    <row r="4974" spans="1:1" x14ac:dyDescent="0.2">
      <c r="A4974" s="366"/>
    </row>
    <row r="4975" spans="1:1" x14ac:dyDescent="0.2">
      <c r="A4975" s="366"/>
    </row>
    <row r="4976" spans="1:1" x14ac:dyDescent="0.2">
      <c r="A4976" s="366"/>
    </row>
    <row r="4977" spans="1:1" x14ac:dyDescent="0.2">
      <c r="A4977" s="366"/>
    </row>
    <row r="4978" spans="1:1" x14ac:dyDescent="0.2">
      <c r="A4978" s="366"/>
    </row>
    <row r="4979" spans="1:1" x14ac:dyDescent="0.2">
      <c r="A4979" s="366"/>
    </row>
    <row r="4980" spans="1:1" x14ac:dyDescent="0.2">
      <c r="A4980" s="366"/>
    </row>
    <row r="4981" spans="1:1" x14ac:dyDescent="0.2">
      <c r="A4981" s="366"/>
    </row>
    <row r="4982" spans="1:1" x14ac:dyDescent="0.2">
      <c r="A4982" s="366"/>
    </row>
    <row r="4983" spans="1:1" x14ac:dyDescent="0.2">
      <c r="A4983" s="366"/>
    </row>
    <row r="4984" spans="1:1" x14ac:dyDescent="0.2">
      <c r="A4984" s="366"/>
    </row>
    <row r="4985" spans="1:1" x14ac:dyDescent="0.2">
      <c r="A4985" s="366"/>
    </row>
    <row r="4986" spans="1:1" x14ac:dyDescent="0.2">
      <c r="A4986" s="366"/>
    </row>
    <row r="4987" spans="1:1" x14ac:dyDescent="0.2">
      <c r="A4987" s="366"/>
    </row>
    <row r="4988" spans="1:1" x14ac:dyDescent="0.2">
      <c r="A4988" s="366"/>
    </row>
    <row r="4989" spans="1:1" x14ac:dyDescent="0.2">
      <c r="A4989" s="366"/>
    </row>
    <row r="4990" spans="1:1" x14ac:dyDescent="0.2">
      <c r="A4990" s="366"/>
    </row>
    <row r="4991" spans="1:1" x14ac:dyDescent="0.2">
      <c r="A4991" s="366"/>
    </row>
    <row r="4992" spans="1:1" x14ac:dyDescent="0.2">
      <c r="A4992" s="366"/>
    </row>
    <row r="4993" spans="1:1" x14ac:dyDescent="0.2">
      <c r="A4993" s="366"/>
    </row>
    <row r="4994" spans="1:1" x14ac:dyDescent="0.2">
      <c r="A4994" s="366"/>
    </row>
    <row r="4995" spans="1:1" x14ac:dyDescent="0.2">
      <c r="A4995" s="366"/>
    </row>
    <row r="4996" spans="1:1" x14ac:dyDescent="0.2">
      <c r="A4996" s="366"/>
    </row>
    <row r="4997" spans="1:1" x14ac:dyDescent="0.2">
      <c r="A4997" s="366"/>
    </row>
    <row r="4998" spans="1:1" x14ac:dyDescent="0.2">
      <c r="A4998" s="366"/>
    </row>
    <row r="4999" spans="1:1" x14ac:dyDescent="0.2">
      <c r="A4999" s="366"/>
    </row>
    <row r="5000" spans="1:1" x14ac:dyDescent="0.2">
      <c r="A5000" s="366"/>
    </row>
    <row r="5001" spans="1:1" x14ac:dyDescent="0.2">
      <c r="A5001" s="366"/>
    </row>
    <row r="5002" spans="1:1" x14ac:dyDescent="0.2">
      <c r="A5002" s="366"/>
    </row>
    <row r="5003" spans="1:1" x14ac:dyDescent="0.2">
      <c r="A5003" s="366"/>
    </row>
    <row r="5004" spans="1:1" x14ac:dyDescent="0.2">
      <c r="A5004" s="366"/>
    </row>
    <row r="5005" spans="1:1" x14ac:dyDescent="0.2">
      <c r="A5005" s="366"/>
    </row>
    <row r="5006" spans="1:1" x14ac:dyDescent="0.2">
      <c r="A5006" s="366"/>
    </row>
    <row r="5007" spans="1:1" x14ac:dyDescent="0.2">
      <c r="A5007" s="366"/>
    </row>
    <row r="5008" spans="1:1" x14ac:dyDescent="0.2">
      <c r="A5008" s="366"/>
    </row>
    <row r="5009" spans="1:1" x14ac:dyDescent="0.2">
      <c r="A5009" s="366"/>
    </row>
    <row r="5010" spans="1:1" x14ac:dyDescent="0.2">
      <c r="A5010" s="366"/>
    </row>
    <row r="5011" spans="1:1" x14ac:dyDescent="0.2">
      <c r="A5011" s="366"/>
    </row>
    <row r="5012" spans="1:1" x14ac:dyDescent="0.2">
      <c r="A5012" s="366"/>
    </row>
    <row r="5013" spans="1:1" x14ac:dyDescent="0.2">
      <c r="A5013" s="366"/>
    </row>
    <row r="5014" spans="1:1" x14ac:dyDescent="0.2">
      <c r="A5014" s="366"/>
    </row>
    <row r="5015" spans="1:1" x14ac:dyDescent="0.2">
      <c r="A5015" s="366"/>
    </row>
    <row r="5016" spans="1:1" x14ac:dyDescent="0.2">
      <c r="A5016" s="366"/>
    </row>
    <row r="5017" spans="1:1" x14ac:dyDescent="0.2">
      <c r="A5017" s="366"/>
    </row>
    <row r="5018" spans="1:1" x14ac:dyDescent="0.2">
      <c r="A5018" s="366"/>
    </row>
    <row r="5019" spans="1:1" x14ac:dyDescent="0.2">
      <c r="A5019" s="366"/>
    </row>
    <row r="5020" spans="1:1" x14ac:dyDescent="0.2">
      <c r="A5020" s="366"/>
    </row>
    <row r="5021" spans="1:1" x14ac:dyDescent="0.2">
      <c r="A5021" s="366"/>
    </row>
    <row r="5022" spans="1:1" x14ac:dyDescent="0.2">
      <c r="A5022" s="366"/>
    </row>
    <row r="5023" spans="1:1" x14ac:dyDescent="0.2">
      <c r="A5023" s="366"/>
    </row>
    <row r="5024" spans="1:1" x14ac:dyDescent="0.2">
      <c r="A5024" s="366"/>
    </row>
    <row r="5025" spans="1:1" x14ac:dyDescent="0.2">
      <c r="A5025" s="366"/>
    </row>
    <row r="5026" spans="1:1" x14ac:dyDescent="0.2">
      <c r="A5026" s="366"/>
    </row>
    <row r="5027" spans="1:1" x14ac:dyDescent="0.2">
      <c r="A5027" s="366"/>
    </row>
    <row r="5028" spans="1:1" x14ac:dyDescent="0.2">
      <c r="A5028" s="366"/>
    </row>
    <row r="5029" spans="1:1" x14ac:dyDescent="0.2">
      <c r="A5029" s="366"/>
    </row>
    <row r="5030" spans="1:1" x14ac:dyDescent="0.2">
      <c r="A5030" s="366"/>
    </row>
    <row r="5031" spans="1:1" x14ac:dyDescent="0.2">
      <c r="A5031" s="366"/>
    </row>
    <row r="5032" spans="1:1" x14ac:dyDescent="0.2">
      <c r="A5032" s="366"/>
    </row>
    <row r="5033" spans="1:1" x14ac:dyDescent="0.2">
      <c r="A5033" s="366"/>
    </row>
    <row r="5034" spans="1:1" x14ac:dyDescent="0.2">
      <c r="A5034" s="366"/>
    </row>
    <row r="5035" spans="1:1" x14ac:dyDescent="0.2">
      <c r="A5035" s="366"/>
    </row>
    <row r="5036" spans="1:1" x14ac:dyDescent="0.2">
      <c r="A5036" s="366"/>
    </row>
    <row r="5037" spans="1:1" x14ac:dyDescent="0.2">
      <c r="A5037" s="366"/>
    </row>
    <row r="5038" spans="1:1" x14ac:dyDescent="0.2">
      <c r="A5038" s="366"/>
    </row>
    <row r="5039" spans="1:1" x14ac:dyDescent="0.2">
      <c r="A5039" s="366"/>
    </row>
    <row r="5040" spans="1:1" x14ac:dyDescent="0.2">
      <c r="A5040" s="366"/>
    </row>
    <row r="5041" spans="1:1" x14ac:dyDescent="0.2">
      <c r="A5041" s="366"/>
    </row>
    <row r="5042" spans="1:1" x14ac:dyDescent="0.2">
      <c r="A5042" s="366"/>
    </row>
    <row r="5043" spans="1:1" x14ac:dyDescent="0.2">
      <c r="A5043" s="366"/>
    </row>
    <row r="5044" spans="1:1" x14ac:dyDescent="0.2">
      <c r="A5044" s="366"/>
    </row>
    <row r="5045" spans="1:1" x14ac:dyDescent="0.2">
      <c r="A5045" s="366"/>
    </row>
    <row r="5046" spans="1:1" x14ac:dyDescent="0.2">
      <c r="A5046" s="366"/>
    </row>
    <row r="5047" spans="1:1" x14ac:dyDescent="0.2">
      <c r="A5047" s="366"/>
    </row>
    <row r="5048" spans="1:1" x14ac:dyDescent="0.2">
      <c r="A5048" s="366"/>
    </row>
    <row r="5049" spans="1:1" x14ac:dyDescent="0.2">
      <c r="A5049" s="366"/>
    </row>
    <row r="5050" spans="1:1" x14ac:dyDescent="0.2">
      <c r="A5050" s="366"/>
    </row>
    <row r="5051" spans="1:1" x14ac:dyDescent="0.2">
      <c r="A5051" s="366"/>
    </row>
    <row r="5052" spans="1:1" x14ac:dyDescent="0.2">
      <c r="A5052" s="366"/>
    </row>
    <row r="5053" spans="1:1" x14ac:dyDescent="0.2">
      <c r="A5053" s="366"/>
    </row>
    <row r="5054" spans="1:1" x14ac:dyDescent="0.2">
      <c r="A5054" s="366"/>
    </row>
    <row r="5055" spans="1:1" x14ac:dyDescent="0.2">
      <c r="A5055" s="366"/>
    </row>
    <row r="5056" spans="1:1" x14ac:dyDescent="0.2">
      <c r="A5056" s="366"/>
    </row>
    <row r="5057" spans="1:1" x14ac:dyDescent="0.2">
      <c r="A5057" s="366"/>
    </row>
    <row r="5058" spans="1:1" x14ac:dyDescent="0.2">
      <c r="A5058" s="366"/>
    </row>
    <row r="5059" spans="1:1" x14ac:dyDescent="0.2">
      <c r="A5059" s="366"/>
    </row>
    <row r="5060" spans="1:1" x14ac:dyDescent="0.2">
      <c r="A5060" s="366"/>
    </row>
    <row r="5061" spans="1:1" x14ac:dyDescent="0.2">
      <c r="A5061" s="366"/>
    </row>
    <row r="5062" spans="1:1" x14ac:dyDescent="0.2">
      <c r="A5062" s="366"/>
    </row>
    <row r="5063" spans="1:1" x14ac:dyDescent="0.2">
      <c r="A5063" s="366"/>
    </row>
    <row r="5064" spans="1:1" x14ac:dyDescent="0.2">
      <c r="A5064" s="366"/>
    </row>
    <row r="5065" spans="1:1" x14ac:dyDescent="0.2">
      <c r="A5065" s="366"/>
    </row>
    <row r="5066" spans="1:1" x14ac:dyDescent="0.2">
      <c r="A5066" s="366"/>
    </row>
    <row r="5067" spans="1:1" x14ac:dyDescent="0.2">
      <c r="A5067" s="366"/>
    </row>
    <row r="5068" spans="1:1" x14ac:dyDescent="0.2">
      <c r="A5068" s="366"/>
    </row>
    <row r="5069" spans="1:1" x14ac:dyDescent="0.2">
      <c r="A5069" s="366"/>
    </row>
    <row r="5070" spans="1:1" x14ac:dyDescent="0.2">
      <c r="A5070" s="366"/>
    </row>
    <row r="5071" spans="1:1" x14ac:dyDescent="0.2">
      <c r="A5071" s="366"/>
    </row>
    <row r="5072" spans="1:1" x14ac:dyDescent="0.2">
      <c r="A5072" s="366"/>
    </row>
    <row r="5073" spans="1:1" x14ac:dyDescent="0.2">
      <c r="A5073" s="366"/>
    </row>
    <row r="5074" spans="1:1" x14ac:dyDescent="0.2">
      <c r="A5074" s="366"/>
    </row>
    <row r="5075" spans="1:1" x14ac:dyDescent="0.2">
      <c r="A5075" s="366"/>
    </row>
    <row r="5076" spans="1:1" x14ac:dyDescent="0.2">
      <c r="A5076" s="366"/>
    </row>
    <row r="5077" spans="1:1" x14ac:dyDescent="0.2">
      <c r="A5077" s="366"/>
    </row>
    <row r="5078" spans="1:1" x14ac:dyDescent="0.2">
      <c r="A5078" s="366"/>
    </row>
    <row r="5079" spans="1:1" x14ac:dyDescent="0.2">
      <c r="A5079" s="366"/>
    </row>
    <row r="5080" spans="1:1" x14ac:dyDescent="0.2">
      <c r="A5080" s="366"/>
    </row>
    <row r="5081" spans="1:1" x14ac:dyDescent="0.2">
      <c r="A5081" s="366"/>
    </row>
    <row r="5082" spans="1:1" x14ac:dyDescent="0.2">
      <c r="A5082" s="366"/>
    </row>
    <row r="5083" spans="1:1" x14ac:dyDescent="0.2">
      <c r="A5083" s="366"/>
    </row>
    <row r="5084" spans="1:1" x14ac:dyDescent="0.2">
      <c r="A5084" s="366"/>
    </row>
    <row r="5085" spans="1:1" x14ac:dyDescent="0.2">
      <c r="A5085" s="366"/>
    </row>
    <row r="5086" spans="1:1" x14ac:dyDescent="0.2">
      <c r="A5086" s="366"/>
    </row>
    <row r="5087" spans="1:1" x14ac:dyDescent="0.2">
      <c r="A5087" s="366"/>
    </row>
    <row r="5088" spans="1:1" x14ac:dyDescent="0.2">
      <c r="A5088" s="366"/>
    </row>
    <row r="5089" spans="1:1" x14ac:dyDescent="0.2">
      <c r="A5089" s="366"/>
    </row>
    <row r="5090" spans="1:1" x14ac:dyDescent="0.2">
      <c r="A5090" s="366"/>
    </row>
    <row r="5091" spans="1:1" x14ac:dyDescent="0.2">
      <c r="A5091" s="366"/>
    </row>
    <row r="5092" spans="1:1" x14ac:dyDescent="0.2">
      <c r="A5092" s="366"/>
    </row>
    <row r="5093" spans="1:1" x14ac:dyDescent="0.2">
      <c r="A5093" s="366"/>
    </row>
    <row r="5094" spans="1:1" x14ac:dyDescent="0.2">
      <c r="A5094" s="366"/>
    </row>
    <row r="5095" spans="1:1" x14ac:dyDescent="0.2">
      <c r="A5095" s="366"/>
    </row>
    <row r="5096" spans="1:1" x14ac:dyDescent="0.2">
      <c r="A5096" s="366"/>
    </row>
    <row r="5097" spans="1:1" x14ac:dyDescent="0.2">
      <c r="A5097" s="366"/>
    </row>
    <row r="5098" spans="1:1" x14ac:dyDescent="0.2">
      <c r="A5098" s="366"/>
    </row>
    <row r="5099" spans="1:1" x14ac:dyDescent="0.2">
      <c r="A5099" s="366"/>
    </row>
    <row r="5100" spans="1:1" x14ac:dyDescent="0.2">
      <c r="A5100" s="366"/>
    </row>
    <row r="5101" spans="1:1" x14ac:dyDescent="0.2">
      <c r="A5101" s="366"/>
    </row>
    <row r="5102" spans="1:1" x14ac:dyDescent="0.2">
      <c r="A5102" s="366"/>
    </row>
    <row r="5103" spans="1:1" x14ac:dyDescent="0.2">
      <c r="A5103" s="366"/>
    </row>
    <row r="5104" spans="1:1" x14ac:dyDescent="0.2">
      <c r="A5104" s="366"/>
    </row>
    <row r="5105" spans="1:1" x14ac:dyDescent="0.2">
      <c r="A5105" s="366"/>
    </row>
    <row r="5106" spans="1:1" x14ac:dyDescent="0.2">
      <c r="A5106" s="366"/>
    </row>
    <row r="5107" spans="1:1" x14ac:dyDescent="0.2">
      <c r="A5107" s="366"/>
    </row>
    <row r="5108" spans="1:1" x14ac:dyDescent="0.2">
      <c r="A5108" s="366"/>
    </row>
    <row r="5109" spans="1:1" x14ac:dyDescent="0.2">
      <c r="A5109" s="366"/>
    </row>
    <row r="5110" spans="1:1" x14ac:dyDescent="0.2">
      <c r="A5110" s="366"/>
    </row>
    <row r="5111" spans="1:1" x14ac:dyDescent="0.2">
      <c r="A5111" s="366"/>
    </row>
    <row r="5112" spans="1:1" x14ac:dyDescent="0.2">
      <c r="A5112" s="366"/>
    </row>
    <row r="5113" spans="1:1" x14ac:dyDescent="0.2">
      <c r="A5113" s="366"/>
    </row>
    <row r="5114" spans="1:1" x14ac:dyDescent="0.2">
      <c r="A5114" s="366"/>
    </row>
    <row r="5115" spans="1:1" x14ac:dyDescent="0.2">
      <c r="A5115" s="366"/>
    </row>
    <row r="5116" spans="1:1" x14ac:dyDescent="0.2">
      <c r="A5116" s="366"/>
    </row>
    <row r="5117" spans="1:1" x14ac:dyDescent="0.2">
      <c r="A5117" s="366"/>
    </row>
    <row r="5118" spans="1:1" x14ac:dyDescent="0.2">
      <c r="A5118" s="366"/>
    </row>
    <row r="5119" spans="1:1" x14ac:dyDescent="0.2">
      <c r="A5119" s="366"/>
    </row>
    <row r="5120" spans="1:1" x14ac:dyDescent="0.2">
      <c r="A5120" s="366"/>
    </row>
    <row r="5121" spans="1:1" x14ac:dyDescent="0.2">
      <c r="A5121" s="366"/>
    </row>
    <row r="5122" spans="1:1" x14ac:dyDescent="0.2">
      <c r="A5122" s="366"/>
    </row>
    <row r="5123" spans="1:1" x14ac:dyDescent="0.2">
      <c r="A5123" s="366"/>
    </row>
    <row r="5124" spans="1:1" x14ac:dyDescent="0.2">
      <c r="A5124" s="366"/>
    </row>
    <row r="5125" spans="1:1" x14ac:dyDescent="0.2">
      <c r="A5125" s="366"/>
    </row>
    <row r="5126" spans="1:1" x14ac:dyDescent="0.2">
      <c r="A5126" s="366"/>
    </row>
    <row r="5127" spans="1:1" x14ac:dyDescent="0.2">
      <c r="A5127" s="366"/>
    </row>
    <row r="5128" spans="1:1" x14ac:dyDescent="0.2">
      <c r="A5128" s="366"/>
    </row>
    <row r="5129" spans="1:1" x14ac:dyDescent="0.2">
      <c r="A5129" s="366"/>
    </row>
    <row r="5130" spans="1:1" x14ac:dyDescent="0.2">
      <c r="A5130" s="366"/>
    </row>
    <row r="5131" spans="1:1" x14ac:dyDescent="0.2">
      <c r="A5131" s="366"/>
    </row>
    <row r="5132" spans="1:1" x14ac:dyDescent="0.2">
      <c r="A5132" s="366"/>
    </row>
    <row r="5133" spans="1:1" x14ac:dyDescent="0.2">
      <c r="A5133" s="366"/>
    </row>
    <row r="5134" spans="1:1" x14ac:dyDescent="0.2">
      <c r="A5134" s="366"/>
    </row>
    <row r="5135" spans="1:1" x14ac:dyDescent="0.2">
      <c r="A5135" s="366"/>
    </row>
    <row r="5136" spans="1:1" x14ac:dyDescent="0.2">
      <c r="A5136" s="366"/>
    </row>
    <row r="5137" spans="1:1" x14ac:dyDescent="0.2">
      <c r="A5137" s="366"/>
    </row>
    <row r="5138" spans="1:1" x14ac:dyDescent="0.2">
      <c r="A5138" s="366"/>
    </row>
    <row r="5139" spans="1:1" x14ac:dyDescent="0.2">
      <c r="A5139" s="366"/>
    </row>
    <row r="5140" spans="1:1" x14ac:dyDescent="0.2">
      <c r="A5140" s="366"/>
    </row>
    <row r="5141" spans="1:1" x14ac:dyDescent="0.2">
      <c r="A5141" s="366"/>
    </row>
    <row r="5142" spans="1:1" x14ac:dyDescent="0.2">
      <c r="A5142" s="366"/>
    </row>
    <row r="5143" spans="1:1" x14ac:dyDescent="0.2">
      <c r="A5143" s="366"/>
    </row>
    <row r="5144" spans="1:1" x14ac:dyDescent="0.2">
      <c r="A5144" s="366"/>
    </row>
    <row r="5145" spans="1:1" x14ac:dyDescent="0.2">
      <c r="A5145" s="366"/>
    </row>
    <row r="5146" spans="1:1" x14ac:dyDescent="0.2">
      <c r="A5146" s="366"/>
    </row>
    <row r="5147" spans="1:1" x14ac:dyDescent="0.2">
      <c r="A5147" s="366"/>
    </row>
    <row r="5148" spans="1:1" x14ac:dyDescent="0.2">
      <c r="A5148" s="366"/>
    </row>
    <row r="5149" spans="1:1" x14ac:dyDescent="0.2">
      <c r="A5149" s="366"/>
    </row>
    <row r="5150" spans="1:1" x14ac:dyDescent="0.2">
      <c r="A5150" s="366"/>
    </row>
    <row r="5151" spans="1:1" x14ac:dyDescent="0.2">
      <c r="A5151" s="366"/>
    </row>
    <row r="5152" spans="1:1" x14ac:dyDescent="0.2">
      <c r="A5152" s="366"/>
    </row>
    <row r="5153" spans="1:1" x14ac:dyDescent="0.2">
      <c r="A5153" s="366"/>
    </row>
    <row r="5154" spans="1:1" x14ac:dyDescent="0.2">
      <c r="A5154" s="366"/>
    </row>
    <row r="5155" spans="1:1" x14ac:dyDescent="0.2">
      <c r="A5155" s="366"/>
    </row>
    <row r="5156" spans="1:1" x14ac:dyDescent="0.2">
      <c r="A5156" s="366"/>
    </row>
    <row r="5157" spans="1:1" x14ac:dyDescent="0.2">
      <c r="A5157" s="366"/>
    </row>
    <row r="5158" spans="1:1" x14ac:dyDescent="0.2">
      <c r="A5158" s="366"/>
    </row>
    <row r="5159" spans="1:1" x14ac:dyDescent="0.2">
      <c r="A5159" s="366"/>
    </row>
    <row r="5160" spans="1:1" x14ac:dyDescent="0.2">
      <c r="A5160" s="366"/>
    </row>
    <row r="5161" spans="1:1" x14ac:dyDescent="0.2">
      <c r="A5161" s="366"/>
    </row>
    <row r="5162" spans="1:1" x14ac:dyDescent="0.2">
      <c r="A5162" s="366"/>
    </row>
    <row r="5163" spans="1:1" x14ac:dyDescent="0.2">
      <c r="A5163" s="366"/>
    </row>
    <row r="5164" spans="1:1" x14ac:dyDescent="0.2">
      <c r="A5164" s="366"/>
    </row>
    <row r="5165" spans="1:1" x14ac:dyDescent="0.2">
      <c r="A5165" s="366"/>
    </row>
    <row r="5166" spans="1:1" x14ac:dyDescent="0.2">
      <c r="A5166" s="366"/>
    </row>
    <row r="5167" spans="1:1" x14ac:dyDescent="0.2">
      <c r="A5167" s="366"/>
    </row>
    <row r="5168" spans="1:1" x14ac:dyDescent="0.2">
      <c r="A5168" s="366"/>
    </row>
    <row r="5169" spans="1:1" x14ac:dyDescent="0.2">
      <c r="A5169" s="366"/>
    </row>
    <row r="5170" spans="1:1" x14ac:dyDescent="0.2">
      <c r="A5170" s="366"/>
    </row>
    <row r="5171" spans="1:1" x14ac:dyDescent="0.2">
      <c r="A5171" s="366"/>
    </row>
    <row r="5172" spans="1:1" x14ac:dyDescent="0.2">
      <c r="A5172" s="366"/>
    </row>
    <row r="5173" spans="1:1" x14ac:dyDescent="0.2">
      <c r="A5173" s="366"/>
    </row>
    <row r="5174" spans="1:1" x14ac:dyDescent="0.2">
      <c r="A5174" s="366"/>
    </row>
    <row r="5175" spans="1:1" x14ac:dyDescent="0.2">
      <c r="A5175" s="366"/>
    </row>
    <row r="5176" spans="1:1" x14ac:dyDescent="0.2">
      <c r="A5176" s="366"/>
    </row>
    <row r="5177" spans="1:1" x14ac:dyDescent="0.2">
      <c r="A5177" s="366"/>
    </row>
    <row r="5178" spans="1:1" x14ac:dyDescent="0.2">
      <c r="A5178" s="366"/>
    </row>
    <row r="5179" spans="1:1" x14ac:dyDescent="0.2">
      <c r="A5179" s="366"/>
    </row>
    <row r="5180" spans="1:1" x14ac:dyDescent="0.2">
      <c r="A5180" s="366"/>
    </row>
    <row r="5181" spans="1:1" x14ac:dyDescent="0.2">
      <c r="A5181" s="366"/>
    </row>
    <row r="5182" spans="1:1" x14ac:dyDescent="0.2">
      <c r="A5182" s="366"/>
    </row>
    <row r="5183" spans="1:1" x14ac:dyDescent="0.2">
      <c r="A5183" s="366"/>
    </row>
    <row r="5184" spans="1:1" x14ac:dyDescent="0.2">
      <c r="A5184" s="366"/>
    </row>
    <row r="5185" spans="1:1" x14ac:dyDescent="0.2">
      <c r="A5185" s="366"/>
    </row>
    <row r="5186" spans="1:1" x14ac:dyDescent="0.2">
      <c r="A5186" s="366"/>
    </row>
    <row r="5187" spans="1:1" x14ac:dyDescent="0.2">
      <c r="A5187" s="366"/>
    </row>
    <row r="5188" spans="1:1" x14ac:dyDescent="0.2">
      <c r="A5188" s="366"/>
    </row>
    <row r="5189" spans="1:1" x14ac:dyDescent="0.2">
      <c r="A5189" s="366"/>
    </row>
    <row r="5190" spans="1:1" x14ac:dyDescent="0.2">
      <c r="A5190" s="366"/>
    </row>
    <row r="5191" spans="1:1" x14ac:dyDescent="0.2">
      <c r="A5191" s="366"/>
    </row>
    <row r="5192" spans="1:1" x14ac:dyDescent="0.2">
      <c r="A5192" s="366"/>
    </row>
    <row r="5193" spans="1:1" x14ac:dyDescent="0.2">
      <c r="A5193" s="366"/>
    </row>
    <row r="5194" spans="1:1" x14ac:dyDescent="0.2">
      <c r="A5194" s="366"/>
    </row>
    <row r="5195" spans="1:1" x14ac:dyDescent="0.2">
      <c r="A5195" s="366"/>
    </row>
    <row r="5196" spans="1:1" x14ac:dyDescent="0.2">
      <c r="A5196" s="366"/>
    </row>
    <row r="5197" spans="1:1" x14ac:dyDescent="0.2">
      <c r="A5197" s="366"/>
    </row>
    <row r="5198" spans="1:1" x14ac:dyDescent="0.2">
      <c r="A5198" s="366"/>
    </row>
    <row r="5199" spans="1:1" x14ac:dyDescent="0.2">
      <c r="A5199" s="366"/>
    </row>
    <row r="5200" spans="1:1" x14ac:dyDescent="0.2">
      <c r="A5200" s="366"/>
    </row>
    <row r="5201" spans="1:1" x14ac:dyDescent="0.2">
      <c r="A5201" s="366"/>
    </row>
    <row r="5202" spans="1:1" x14ac:dyDescent="0.2">
      <c r="A5202" s="366"/>
    </row>
    <row r="5203" spans="1:1" x14ac:dyDescent="0.2">
      <c r="A5203" s="366"/>
    </row>
    <row r="5204" spans="1:1" x14ac:dyDescent="0.2">
      <c r="A5204" s="366"/>
    </row>
    <row r="5205" spans="1:1" x14ac:dyDescent="0.2">
      <c r="A5205" s="366"/>
    </row>
    <row r="5206" spans="1:1" x14ac:dyDescent="0.2">
      <c r="A5206" s="366"/>
    </row>
    <row r="5207" spans="1:1" x14ac:dyDescent="0.2">
      <c r="A5207" s="366"/>
    </row>
    <row r="5208" spans="1:1" x14ac:dyDescent="0.2">
      <c r="A5208" s="366"/>
    </row>
    <row r="5209" spans="1:1" x14ac:dyDescent="0.2">
      <c r="A5209" s="366"/>
    </row>
    <row r="5210" spans="1:1" x14ac:dyDescent="0.2">
      <c r="A5210" s="366"/>
    </row>
    <row r="5211" spans="1:1" x14ac:dyDescent="0.2">
      <c r="A5211" s="366"/>
    </row>
    <row r="5212" spans="1:1" x14ac:dyDescent="0.2">
      <c r="A5212" s="366"/>
    </row>
    <row r="5213" spans="1:1" x14ac:dyDescent="0.2">
      <c r="A5213" s="366"/>
    </row>
    <row r="5214" spans="1:1" x14ac:dyDescent="0.2">
      <c r="A5214" s="366"/>
    </row>
    <row r="5215" spans="1:1" x14ac:dyDescent="0.2">
      <c r="A5215" s="366"/>
    </row>
    <row r="5216" spans="1:1" x14ac:dyDescent="0.2">
      <c r="A5216" s="366"/>
    </row>
    <row r="5217" spans="1:1" x14ac:dyDescent="0.2">
      <c r="A5217" s="366"/>
    </row>
    <row r="5218" spans="1:1" x14ac:dyDescent="0.2">
      <c r="A5218" s="366"/>
    </row>
    <row r="5219" spans="1:1" x14ac:dyDescent="0.2">
      <c r="A5219" s="366"/>
    </row>
    <row r="5220" spans="1:1" x14ac:dyDescent="0.2">
      <c r="A5220" s="366"/>
    </row>
    <row r="5221" spans="1:1" x14ac:dyDescent="0.2">
      <c r="A5221" s="366"/>
    </row>
    <row r="5222" spans="1:1" x14ac:dyDescent="0.2">
      <c r="A5222" s="366"/>
    </row>
    <row r="5223" spans="1:1" x14ac:dyDescent="0.2">
      <c r="A5223" s="366"/>
    </row>
    <row r="5224" spans="1:1" x14ac:dyDescent="0.2">
      <c r="A5224" s="366"/>
    </row>
    <row r="5225" spans="1:1" x14ac:dyDescent="0.2">
      <c r="A5225" s="366"/>
    </row>
    <row r="5226" spans="1:1" x14ac:dyDescent="0.2">
      <c r="A5226" s="366"/>
    </row>
    <row r="5227" spans="1:1" x14ac:dyDescent="0.2">
      <c r="A5227" s="366"/>
    </row>
    <row r="5228" spans="1:1" x14ac:dyDescent="0.2">
      <c r="A5228" s="366"/>
    </row>
    <row r="5229" spans="1:1" x14ac:dyDescent="0.2">
      <c r="A5229" s="366"/>
    </row>
    <row r="5230" spans="1:1" x14ac:dyDescent="0.2">
      <c r="A5230" s="366"/>
    </row>
    <row r="5231" spans="1:1" x14ac:dyDescent="0.2">
      <c r="A5231" s="366"/>
    </row>
    <row r="5232" spans="1:1" x14ac:dyDescent="0.2">
      <c r="A5232" s="366"/>
    </row>
    <row r="5233" spans="1:1" x14ac:dyDescent="0.2">
      <c r="A5233" s="366"/>
    </row>
    <row r="5234" spans="1:1" x14ac:dyDescent="0.2">
      <c r="A5234" s="366"/>
    </row>
    <row r="5235" spans="1:1" x14ac:dyDescent="0.2">
      <c r="A5235" s="366"/>
    </row>
    <row r="5236" spans="1:1" x14ac:dyDescent="0.2">
      <c r="A5236" s="366"/>
    </row>
    <row r="5237" spans="1:1" x14ac:dyDescent="0.2">
      <c r="A5237" s="366"/>
    </row>
    <row r="5238" spans="1:1" x14ac:dyDescent="0.2">
      <c r="A5238" s="366"/>
    </row>
    <row r="5239" spans="1:1" x14ac:dyDescent="0.2">
      <c r="A5239" s="366"/>
    </row>
    <row r="5240" spans="1:1" x14ac:dyDescent="0.2">
      <c r="A5240" s="366"/>
    </row>
    <row r="5241" spans="1:1" x14ac:dyDescent="0.2">
      <c r="A5241" s="366"/>
    </row>
    <row r="5242" spans="1:1" x14ac:dyDescent="0.2">
      <c r="A5242" s="366"/>
    </row>
    <row r="5243" spans="1:1" x14ac:dyDescent="0.2">
      <c r="A5243" s="366"/>
    </row>
    <row r="5244" spans="1:1" x14ac:dyDescent="0.2">
      <c r="A5244" s="366"/>
    </row>
    <row r="5245" spans="1:1" x14ac:dyDescent="0.2">
      <c r="A5245" s="366"/>
    </row>
    <row r="5246" spans="1:1" x14ac:dyDescent="0.2">
      <c r="A5246" s="366"/>
    </row>
    <row r="5247" spans="1:1" x14ac:dyDescent="0.2">
      <c r="A5247" s="366"/>
    </row>
    <row r="5248" spans="1:1" x14ac:dyDescent="0.2">
      <c r="A5248" s="366"/>
    </row>
    <row r="5249" spans="1:1" x14ac:dyDescent="0.2">
      <c r="A5249" s="366"/>
    </row>
    <row r="5250" spans="1:1" x14ac:dyDescent="0.2">
      <c r="A5250" s="366"/>
    </row>
    <row r="5251" spans="1:1" x14ac:dyDescent="0.2">
      <c r="A5251" s="366"/>
    </row>
    <row r="5252" spans="1:1" x14ac:dyDescent="0.2">
      <c r="A5252" s="366"/>
    </row>
    <row r="5253" spans="1:1" x14ac:dyDescent="0.2">
      <c r="A5253" s="366"/>
    </row>
    <row r="5254" spans="1:1" x14ac:dyDescent="0.2">
      <c r="A5254" s="366"/>
    </row>
    <row r="5255" spans="1:1" x14ac:dyDescent="0.2">
      <c r="A5255" s="366"/>
    </row>
    <row r="5256" spans="1:1" x14ac:dyDescent="0.2">
      <c r="A5256" s="366"/>
    </row>
    <row r="5257" spans="1:1" x14ac:dyDescent="0.2">
      <c r="A5257" s="366"/>
    </row>
    <row r="5258" spans="1:1" x14ac:dyDescent="0.2">
      <c r="A5258" s="366"/>
    </row>
    <row r="5259" spans="1:1" x14ac:dyDescent="0.2">
      <c r="A5259" s="366"/>
    </row>
    <row r="5260" spans="1:1" x14ac:dyDescent="0.2">
      <c r="A5260" s="366"/>
    </row>
    <row r="5261" spans="1:1" x14ac:dyDescent="0.2">
      <c r="A5261" s="366"/>
    </row>
    <row r="5262" spans="1:1" x14ac:dyDescent="0.2">
      <c r="A5262" s="366"/>
    </row>
    <row r="5263" spans="1:1" x14ac:dyDescent="0.2">
      <c r="A5263" s="366"/>
    </row>
    <row r="5264" spans="1:1" x14ac:dyDescent="0.2">
      <c r="A5264" s="366"/>
    </row>
    <row r="5265" spans="1:1" x14ac:dyDescent="0.2">
      <c r="A5265" s="366"/>
    </row>
    <row r="5266" spans="1:1" x14ac:dyDescent="0.2">
      <c r="A5266" s="366"/>
    </row>
    <row r="5267" spans="1:1" x14ac:dyDescent="0.2">
      <c r="A5267" s="366"/>
    </row>
    <row r="5268" spans="1:1" x14ac:dyDescent="0.2">
      <c r="A5268" s="366"/>
    </row>
    <row r="5269" spans="1:1" x14ac:dyDescent="0.2">
      <c r="A5269" s="366"/>
    </row>
    <row r="5270" spans="1:1" x14ac:dyDescent="0.2">
      <c r="A5270" s="366"/>
    </row>
    <row r="5271" spans="1:1" x14ac:dyDescent="0.2">
      <c r="A5271" s="366"/>
    </row>
    <row r="5272" spans="1:1" x14ac:dyDescent="0.2">
      <c r="A5272" s="366"/>
    </row>
    <row r="5273" spans="1:1" x14ac:dyDescent="0.2">
      <c r="A5273" s="366"/>
    </row>
    <row r="5274" spans="1:1" x14ac:dyDescent="0.2">
      <c r="A5274" s="366"/>
    </row>
    <row r="5275" spans="1:1" x14ac:dyDescent="0.2">
      <c r="A5275" s="366"/>
    </row>
    <row r="5276" spans="1:1" x14ac:dyDescent="0.2">
      <c r="A5276" s="366"/>
    </row>
    <row r="5277" spans="1:1" x14ac:dyDescent="0.2">
      <c r="A5277" s="366"/>
    </row>
    <row r="5278" spans="1:1" x14ac:dyDescent="0.2">
      <c r="A5278" s="366"/>
    </row>
    <row r="5279" spans="1:1" x14ac:dyDescent="0.2">
      <c r="A5279" s="366"/>
    </row>
    <row r="5280" spans="1:1" x14ac:dyDescent="0.2">
      <c r="A5280" s="366"/>
    </row>
    <row r="5281" spans="1:1" x14ac:dyDescent="0.2">
      <c r="A5281" s="366"/>
    </row>
    <row r="5282" spans="1:1" x14ac:dyDescent="0.2">
      <c r="A5282" s="366"/>
    </row>
    <row r="5283" spans="1:1" x14ac:dyDescent="0.2">
      <c r="A5283" s="366"/>
    </row>
    <row r="5284" spans="1:1" x14ac:dyDescent="0.2">
      <c r="A5284" s="366"/>
    </row>
    <row r="5285" spans="1:1" x14ac:dyDescent="0.2">
      <c r="A5285" s="366"/>
    </row>
    <row r="5286" spans="1:1" x14ac:dyDescent="0.2">
      <c r="A5286" s="366"/>
    </row>
    <row r="5287" spans="1:1" x14ac:dyDescent="0.2">
      <c r="A5287" s="366"/>
    </row>
    <row r="5288" spans="1:1" x14ac:dyDescent="0.2">
      <c r="A5288" s="366"/>
    </row>
    <row r="5289" spans="1:1" x14ac:dyDescent="0.2">
      <c r="A5289" s="366"/>
    </row>
    <row r="5290" spans="1:1" x14ac:dyDescent="0.2">
      <c r="A5290" s="366"/>
    </row>
    <row r="5291" spans="1:1" x14ac:dyDescent="0.2">
      <c r="A5291" s="366"/>
    </row>
    <row r="5292" spans="1:1" x14ac:dyDescent="0.2">
      <c r="A5292" s="366"/>
    </row>
    <row r="5293" spans="1:1" x14ac:dyDescent="0.2">
      <c r="A5293" s="366"/>
    </row>
    <row r="5294" spans="1:1" x14ac:dyDescent="0.2">
      <c r="A5294" s="366"/>
    </row>
    <row r="5295" spans="1:1" x14ac:dyDescent="0.2">
      <c r="A5295" s="366"/>
    </row>
    <row r="5296" spans="1:1" x14ac:dyDescent="0.2">
      <c r="A5296" s="366"/>
    </row>
    <row r="5297" spans="1:1" x14ac:dyDescent="0.2">
      <c r="A5297" s="366"/>
    </row>
    <row r="5298" spans="1:1" x14ac:dyDescent="0.2">
      <c r="A5298" s="366"/>
    </row>
    <row r="5299" spans="1:1" x14ac:dyDescent="0.2">
      <c r="A5299" s="366"/>
    </row>
    <row r="5300" spans="1:1" x14ac:dyDescent="0.2">
      <c r="A5300" s="366"/>
    </row>
    <row r="5301" spans="1:1" x14ac:dyDescent="0.2">
      <c r="A5301" s="366"/>
    </row>
    <row r="5302" spans="1:1" x14ac:dyDescent="0.2">
      <c r="A5302" s="366"/>
    </row>
    <row r="5303" spans="1:1" x14ac:dyDescent="0.2">
      <c r="A5303" s="366"/>
    </row>
    <row r="5304" spans="1:1" x14ac:dyDescent="0.2">
      <c r="A5304" s="366"/>
    </row>
    <row r="5305" spans="1:1" x14ac:dyDescent="0.2">
      <c r="A5305" s="366"/>
    </row>
    <row r="5306" spans="1:1" x14ac:dyDescent="0.2">
      <c r="A5306" s="366"/>
    </row>
    <row r="5307" spans="1:1" x14ac:dyDescent="0.2">
      <c r="A5307" s="366"/>
    </row>
    <row r="5308" spans="1:1" x14ac:dyDescent="0.2">
      <c r="A5308" s="366"/>
    </row>
    <row r="5309" spans="1:1" x14ac:dyDescent="0.2">
      <c r="A5309" s="366"/>
    </row>
    <row r="5310" spans="1:1" x14ac:dyDescent="0.2">
      <c r="A5310" s="366"/>
    </row>
    <row r="5311" spans="1:1" x14ac:dyDescent="0.2">
      <c r="A5311" s="366"/>
    </row>
    <row r="5312" spans="1:1" x14ac:dyDescent="0.2">
      <c r="A5312" s="366"/>
    </row>
    <row r="5313" spans="1:1" x14ac:dyDescent="0.2">
      <c r="A5313" s="366"/>
    </row>
    <row r="5314" spans="1:1" x14ac:dyDescent="0.2">
      <c r="A5314" s="366"/>
    </row>
    <row r="5315" spans="1:1" x14ac:dyDescent="0.2">
      <c r="A5315" s="366"/>
    </row>
    <row r="5316" spans="1:1" x14ac:dyDescent="0.2">
      <c r="A5316" s="366"/>
    </row>
    <row r="5317" spans="1:1" x14ac:dyDescent="0.2">
      <c r="A5317" s="366"/>
    </row>
    <row r="5318" spans="1:1" x14ac:dyDescent="0.2">
      <c r="A5318" s="366"/>
    </row>
    <row r="5319" spans="1:1" x14ac:dyDescent="0.2">
      <c r="A5319" s="366"/>
    </row>
    <row r="5320" spans="1:1" x14ac:dyDescent="0.2">
      <c r="A5320" s="366"/>
    </row>
    <row r="5321" spans="1:1" x14ac:dyDescent="0.2">
      <c r="A5321" s="366"/>
    </row>
    <row r="5322" spans="1:1" x14ac:dyDescent="0.2">
      <c r="A5322" s="366"/>
    </row>
    <row r="5323" spans="1:1" x14ac:dyDescent="0.2">
      <c r="A5323" s="366"/>
    </row>
    <row r="5324" spans="1:1" x14ac:dyDescent="0.2">
      <c r="A5324" s="366"/>
    </row>
    <row r="5325" spans="1:1" x14ac:dyDescent="0.2">
      <c r="A5325" s="366"/>
    </row>
    <row r="5326" spans="1:1" x14ac:dyDescent="0.2">
      <c r="A5326" s="366"/>
    </row>
    <row r="5327" spans="1:1" x14ac:dyDescent="0.2">
      <c r="A5327" s="366"/>
    </row>
    <row r="5328" spans="1:1" x14ac:dyDescent="0.2">
      <c r="A5328" s="366"/>
    </row>
    <row r="5329" spans="1:1" x14ac:dyDescent="0.2">
      <c r="A5329" s="366"/>
    </row>
    <row r="5330" spans="1:1" x14ac:dyDescent="0.2">
      <c r="A5330" s="366"/>
    </row>
    <row r="5331" spans="1:1" x14ac:dyDescent="0.2">
      <c r="A5331" s="366"/>
    </row>
    <row r="5332" spans="1:1" x14ac:dyDescent="0.2">
      <c r="A5332" s="366"/>
    </row>
    <row r="5333" spans="1:1" x14ac:dyDescent="0.2">
      <c r="A5333" s="366"/>
    </row>
    <row r="5334" spans="1:1" x14ac:dyDescent="0.2">
      <c r="A5334" s="366"/>
    </row>
    <row r="5335" spans="1:1" x14ac:dyDescent="0.2">
      <c r="A5335" s="366"/>
    </row>
    <row r="5336" spans="1:1" x14ac:dyDescent="0.2">
      <c r="A5336" s="366"/>
    </row>
    <row r="5337" spans="1:1" x14ac:dyDescent="0.2">
      <c r="A5337" s="366"/>
    </row>
    <row r="5338" spans="1:1" x14ac:dyDescent="0.2">
      <c r="A5338" s="366"/>
    </row>
    <row r="5339" spans="1:1" x14ac:dyDescent="0.2">
      <c r="A5339" s="366"/>
    </row>
    <row r="5340" spans="1:1" x14ac:dyDescent="0.2">
      <c r="A5340" s="366"/>
    </row>
    <row r="5341" spans="1:1" x14ac:dyDescent="0.2">
      <c r="A5341" s="366"/>
    </row>
    <row r="5342" spans="1:1" x14ac:dyDescent="0.2">
      <c r="A5342" s="366"/>
    </row>
    <row r="5343" spans="1:1" x14ac:dyDescent="0.2">
      <c r="A5343" s="366"/>
    </row>
    <row r="5344" spans="1:1" x14ac:dyDescent="0.2">
      <c r="A5344" s="366"/>
    </row>
    <row r="5345" spans="1:1" x14ac:dyDescent="0.2">
      <c r="A5345" s="366"/>
    </row>
    <row r="5346" spans="1:1" x14ac:dyDescent="0.2">
      <c r="A5346" s="366"/>
    </row>
    <row r="5347" spans="1:1" x14ac:dyDescent="0.2">
      <c r="A5347" s="366"/>
    </row>
    <row r="5348" spans="1:1" x14ac:dyDescent="0.2">
      <c r="A5348" s="366"/>
    </row>
    <row r="5349" spans="1:1" x14ac:dyDescent="0.2">
      <c r="A5349" s="366"/>
    </row>
    <row r="5350" spans="1:1" x14ac:dyDescent="0.2">
      <c r="A5350" s="366"/>
    </row>
    <row r="5351" spans="1:1" x14ac:dyDescent="0.2">
      <c r="A5351" s="366"/>
    </row>
    <row r="5352" spans="1:1" x14ac:dyDescent="0.2">
      <c r="A5352" s="366"/>
    </row>
    <row r="5353" spans="1:1" x14ac:dyDescent="0.2">
      <c r="A5353" s="366"/>
    </row>
    <row r="5354" spans="1:1" x14ac:dyDescent="0.2">
      <c r="A5354" s="366"/>
    </row>
    <row r="5355" spans="1:1" x14ac:dyDescent="0.2">
      <c r="A5355" s="366"/>
    </row>
    <row r="5356" spans="1:1" x14ac:dyDescent="0.2">
      <c r="A5356" s="366"/>
    </row>
    <row r="5357" spans="1:1" x14ac:dyDescent="0.2">
      <c r="A5357" s="366"/>
    </row>
    <row r="5358" spans="1:1" x14ac:dyDescent="0.2">
      <c r="A5358" s="366"/>
    </row>
    <row r="5359" spans="1:1" x14ac:dyDescent="0.2">
      <c r="A5359" s="366"/>
    </row>
    <row r="5360" spans="1:1" x14ac:dyDescent="0.2">
      <c r="A5360" s="366"/>
    </row>
    <row r="5361" spans="1:1" x14ac:dyDescent="0.2">
      <c r="A5361" s="366"/>
    </row>
    <row r="5362" spans="1:1" x14ac:dyDescent="0.2">
      <c r="A5362" s="366"/>
    </row>
    <row r="5363" spans="1:1" x14ac:dyDescent="0.2">
      <c r="A5363" s="366"/>
    </row>
    <row r="5364" spans="1:1" x14ac:dyDescent="0.2">
      <c r="A5364" s="366"/>
    </row>
    <row r="5365" spans="1:1" x14ac:dyDescent="0.2">
      <c r="A5365" s="366"/>
    </row>
    <row r="5366" spans="1:1" x14ac:dyDescent="0.2">
      <c r="A5366" s="366"/>
    </row>
    <row r="5367" spans="1:1" x14ac:dyDescent="0.2">
      <c r="A5367" s="366"/>
    </row>
    <row r="5368" spans="1:1" x14ac:dyDescent="0.2">
      <c r="A5368" s="366"/>
    </row>
    <row r="5369" spans="1:1" x14ac:dyDescent="0.2">
      <c r="A5369" s="366"/>
    </row>
    <row r="5370" spans="1:1" x14ac:dyDescent="0.2">
      <c r="A5370" s="366"/>
    </row>
    <row r="5371" spans="1:1" x14ac:dyDescent="0.2">
      <c r="A5371" s="366"/>
    </row>
    <row r="5372" spans="1:1" x14ac:dyDescent="0.2">
      <c r="A5372" s="366"/>
    </row>
    <row r="5373" spans="1:1" x14ac:dyDescent="0.2">
      <c r="A5373" s="366"/>
    </row>
    <row r="5374" spans="1:1" x14ac:dyDescent="0.2">
      <c r="A5374" s="366"/>
    </row>
    <row r="5375" spans="1:1" x14ac:dyDescent="0.2">
      <c r="A5375" s="366"/>
    </row>
    <row r="5376" spans="1:1" x14ac:dyDescent="0.2">
      <c r="A5376" s="366"/>
    </row>
    <row r="5377" spans="1:1" x14ac:dyDescent="0.2">
      <c r="A5377" s="366"/>
    </row>
    <row r="5378" spans="1:1" x14ac:dyDescent="0.2">
      <c r="A5378" s="366"/>
    </row>
    <row r="5379" spans="1:1" x14ac:dyDescent="0.2">
      <c r="A5379" s="366"/>
    </row>
    <row r="5380" spans="1:1" x14ac:dyDescent="0.2">
      <c r="A5380" s="366"/>
    </row>
    <row r="5381" spans="1:1" x14ac:dyDescent="0.2">
      <c r="A5381" s="366"/>
    </row>
    <row r="5382" spans="1:1" x14ac:dyDescent="0.2">
      <c r="A5382" s="366"/>
    </row>
    <row r="5383" spans="1:1" x14ac:dyDescent="0.2">
      <c r="A5383" s="366"/>
    </row>
    <row r="5384" spans="1:1" x14ac:dyDescent="0.2">
      <c r="A5384" s="366"/>
    </row>
    <row r="5385" spans="1:1" x14ac:dyDescent="0.2">
      <c r="A5385" s="366"/>
    </row>
    <row r="5386" spans="1:1" x14ac:dyDescent="0.2">
      <c r="A5386" s="366"/>
    </row>
    <row r="5387" spans="1:1" x14ac:dyDescent="0.2">
      <c r="A5387" s="366"/>
    </row>
    <row r="5388" spans="1:1" x14ac:dyDescent="0.2">
      <c r="A5388" s="366"/>
    </row>
    <row r="5389" spans="1:1" x14ac:dyDescent="0.2">
      <c r="A5389" s="366"/>
    </row>
    <row r="5390" spans="1:1" x14ac:dyDescent="0.2">
      <c r="A5390" s="366"/>
    </row>
    <row r="5391" spans="1:1" x14ac:dyDescent="0.2">
      <c r="A5391" s="366"/>
    </row>
    <row r="5392" spans="1:1" x14ac:dyDescent="0.2">
      <c r="A5392" s="366"/>
    </row>
    <row r="5393" spans="1:1" x14ac:dyDescent="0.2">
      <c r="A5393" s="366"/>
    </row>
    <row r="5394" spans="1:1" x14ac:dyDescent="0.2">
      <c r="A5394" s="366"/>
    </row>
    <row r="5395" spans="1:1" x14ac:dyDescent="0.2">
      <c r="A5395" s="366"/>
    </row>
    <row r="5396" spans="1:1" x14ac:dyDescent="0.2">
      <c r="A5396" s="366"/>
    </row>
    <row r="5397" spans="1:1" x14ac:dyDescent="0.2">
      <c r="A5397" s="366"/>
    </row>
    <row r="5398" spans="1:1" x14ac:dyDescent="0.2">
      <c r="A5398" s="366"/>
    </row>
    <row r="5399" spans="1:1" x14ac:dyDescent="0.2">
      <c r="A5399" s="366"/>
    </row>
    <row r="5400" spans="1:1" x14ac:dyDescent="0.2">
      <c r="A5400" s="366"/>
    </row>
    <row r="5401" spans="1:1" x14ac:dyDescent="0.2">
      <c r="A5401" s="366"/>
    </row>
    <row r="5402" spans="1:1" x14ac:dyDescent="0.2">
      <c r="A5402" s="366"/>
    </row>
    <row r="5403" spans="1:1" x14ac:dyDescent="0.2">
      <c r="A5403" s="366"/>
    </row>
    <row r="5404" spans="1:1" x14ac:dyDescent="0.2">
      <c r="A5404" s="366"/>
    </row>
    <row r="5405" spans="1:1" x14ac:dyDescent="0.2">
      <c r="A5405" s="366"/>
    </row>
    <row r="5406" spans="1:1" x14ac:dyDescent="0.2">
      <c r="A5406" s="366"/>
    </row>
    <row r="5407" spans="1:1" x14ac:dyDescent="0.2">
      <c r="A5407" s="366"/>
    </row>
    <row r="5408" spans="1:1" x14ac:dyDescent="0.2">
      <c r="A5408" s="366"/>
    </row>
    <row r="5409" spans="1:1" x14ac:dyDescent="0.2">
      <c r="A5409" s="366"/>
    </row>
    <row r="5410" spans="1:1" x14ac:dyDescent="0.2">
      <c r="A5410" s="366"/>
    </row>
    <row r="5411" spans="1:1" x14ac:dyDescent="0.2">
      <c r="A5411" s="366"/>
    </row>
    <row r="5412" spans="1:1" x14ac:dyDescent="0.2">
      <c r="A5412" s="366"/>
    </row>
    <row r="5413" spans="1:1" x14ac:dyDescent="0.2">
      <c r="A5413" s="366"/>
    </row>
    <row r="5414" spans="1:1" x14ac:dyDescent="0.2">
      <c r="A5414" s="366"/>
    </row>
    <row r="5415" spans="1:1" x14ac:dyDescent="0.2">
      <c r="A5415" s="366"/>
    </row>
    <row r="5416" spans="1:1" x14ac:dyDescent="0.2">
      <c r="A5416" s="366"/>
    </row>
    <row r="5417" spans="1:1" x14ac:dyDescent="0.2">
      <c r="A5417" s="366"/>
    </row>
    <row r="5418" spans="1:1" x14ac:dyDescent="0.2">
      <c r="A5418" s="366"/>
    </row>
    <row r="5419" spans="1:1" x14ac:dyDescent="0.2">
      <c r="A5419" s="366"/>
    </row>
    <row r="5420" spans="1:1" x14ac:dyDescent="0.2">
      <c r="A5420" s="366"/>
    </row>
    <row r="5421" spans="1:1" x14ac:dyDescent="0.2">
      <c r="A5421" s="366"/>
    </row>
    <row r="5422" spans="1:1" x14ac:dyDescent="0.2">
      <c r="A5422" s="366"/>
    </row>
    <row r="5423" spans="1:1" x14ac:dyDescent="0.2">
      <c r="A5423" s="366"/>
    </row>
    <row r="5424" spans="1:1" x14ac:dyDescent="0.2">
      <c r="A5424" s="366"/>
    </row>
    <row r="5425" spans="1:1" x14ac:dyDescent="0.2">
      <c r="A5425" s="366"/>
    </row>
    <row r="5426" spans="1:1" x14ac:dyDescent="0.2">
      <c r="A5426" s="366"/>
    </row>
    <row r="5427" spans="1:1" x14ac:dyDescent="0.2">
      <c r="A5427" s="366"/>
    </row>
    <row r="5428" spans="1:1" x14ac:dyDescent="0.2">
      <c r="A5428" s="366"/>
    </row>
    <row r="5429" spans="1:1" x14ac:dyDescent="0.2">
      <c r="A5429" s="366"/>
    </row>
    <row r="5430" spans="1:1" x14ac:dyDescent="0.2">
      <c r="A5430" s="366"/>
    </row>
    <row r="5431" spans="1:1" x14ac:dyDescent="0.2">
      <c r="A5431" s="366"/>
    </row>
    <row r="5432" spans="1:1" x14ac:dyDescent="0.2">
      <c r="A5432" s="366"/>
    </row>
    <row r="5433" spans="1:1" x14ac:dyDescent="0.2">
      <c r="A5433" s="366"/>
    </row>
    <row r="5434" spans="1:1" x14ac:dyDescent="0.2">
      <c r="A5434" s="366"/>
    </row>
    <row r="5435" spans="1:1" x14ac:dyDescent="0.2">
      <c r="A5435" s="366"/>
    </row>
    <row r="5436" spans="1:1" x14ac:dyDescent="0.2">
      <c r="A5436" s="366"/>
    </row>
    <row r="5437" spans="1:1" x14ac:dyDescent="0.2">
      <c r="A5437" s="366"/>
    </row>
    <row r="5438" spans="1:1" x14ac:dyDescent="0.2">
      <c r="A5438" s="366"/>
    </row>
    <row r="5439" spans="1:1" x14ac:dyDescent="0.2">
      <c r="A5439" s="366"/>
    </row>
    <row r="5440" spans="1:1" x14ac:dyDescent="0.2">
      <c r="A5440" s="366"/>
    </row>
    <row r="5441" spans="1:1" x14ac:dyDescent="0.2">
      <c r="A5441" s="366"/>
    </row>
    <row r="5442" spans="1:1" x14ac:dyDescent="0.2">
      <c r="A5442" s="366"/>
    </row>
    <row r="5443" spans="1:1" x14ac:dyDescent="0.2">
      <c r="A5443" s="366"/>
    </row>
    <row r="5444" spans="1:1" x14ac:dyDescent="0.2">
      <c r="A5444" s="366"/>
    </row>
    <row r="5445" spans="1:1" x14ac:dyDescent="0.2">
      <c r="A5445" s="366"/>
    </row>
    <row r="5446" spans="1:1" x14ac:dyDescent="0.2">
      <c r="A5446" s="366"/>
    </row>
    <row r="5447" spans="1:1" x14ac:dyDescent="0.2">
      <c r="A5447" s="366"/>
    </row>
    <row r="5448" spans="1:1" x14ac:dyDescent="0.2">
      <c r="A5448" s="366"/>
    </row>
    <row r="5449" spans="1:1" x14ac:dyDescent="0.2">
      <c r="A5449" s="366"/>
    </row>
    <row r="5450" spans="1:1" x14ac:dyDescent="0.2">
      <c r="A5450" s="366"/>
    </row>
    <row r="5451" spans="1:1" x14ac:dyDescent="0.2">
      <c r="A5451" s="366"/>
    </row>
    <row r="5452" spans="1:1" x14ac:dyDescent="0.2">
      <c r="A5452" s="366"/>
    </row>
    <row r="5453" spans="1:1" x14ac:dyDescent="0.2">
      <c r="A5453" s="366"/>
    </row>
    <row r="5454" spans="1:1" x14ac:dyDescent="0.2">
      <c r="A5454" s="366"/>
    </row>
    <row r="5455" spans="1:1" x14ac:dyDescent="0.2">
      <c r="A5455" s="366"/>
    </row>
    <row r="5456" spans="1:1" x14ac:dyDescent="0.2">
      <c r="A5456" s="366"/>
    </row>
    <row r="5457" spans="1:1" x14ac:dyDescent="0.2">
      <c r="A5457" s="366"/>
    </row>
    <row r="5458" spans="1:1" x14ac:dyDescent="0.2">
      <c r="A5458" s="366"/>
    </row>
    <row r="5459" spans="1:1" x14ac:dyDescent="0.2">
      <c r="A5459" s="366"/>
    </row>
    <row r="5460" spans="1:1" x14ac:dyDescent="0.2">
      <c r="A5460" s="366"/>
    </row>
    <row r="5461" spans="1:1" x14ac:dyDescent="0.2">
      <c r="A5461" s="366"/>
    </row>
    <row r="5462" spans="1:1" x14ac:dyDescent="0.2">
      <c r="A5462" s="366"/>
    </row>
    <row r="5463" spans="1:1" x14ac:dyDescent="0.2">
      <c r="A5463" s="366"/>
    </row>
    <row r="5464" spans="1:1" x14ac:dyDescent="0.2">
      <c r="A5464" s="366"/>
    </row>
    <row r="5465" spans="1:1" x14ac:dyDescent="0.2">
      <c r="A5465" s="366"/>
    </row>
    <row r="5466" spans="1:1" x14ac:dyDescent="0.2">
      <c r="A5466" s="366"/>
    </row>
    <row r="5467" spans="1:1" x14ac:dyDescent="0.2">
      <c r="A5467" s="366"/>
    </row>
    <row r="5468" spans="1:1" x14ac:dyDescent="0.2">
      <c r="A5468" s="366"/>
    </row>
    <row r="5469" spans="1:1" x14ac:dyDescent="0.2">
      <c r="A5469" s="366"/>
    </row>
    <row r="5470" spans="1:1" x14ac:dyDescent="0.2">
      <c r="A5470" s="366"/>
    </row>
    <row r="5471" spans="1:1" x14ac:dyDescent="0.2">
      <c r="A5471" s="366"/>
    </row>
    <row r="5472" spans="1:1" x14ac:dyDescent="0.2">
      <c r="A5472" s="366"/>
    </row>
    <row r="5473" spans="1:1" x14ac:dyDescent="0.2">
      <c r="A5473" s="366"/>
    </row>
    <row r="5474" spans="1:1" x14ac:dyDescent="0.2">
      <c r="A5474" s="366"/>
    </row>
    <row r="5475" spans="1:1" x14ac:dyDescent="0.2">
      <c r="A5475" s="366"/>
    </row>
    <row r="5476" spans="1:1" x14ac:dyDescent="0.2">
      <c r="A5476" s="366"/>
    </row>
    <row r="5477" spans="1:1" x14ac:dyDescent="0.2">
      <c r="A5477" s="366"/>
    </row>
    <row r="5478" spans="1:1" x14ac:dyDescent="0.2">
      <c r="A5478" s="366"/>
    </row>
    <row r="5479" spans="1:1" x14ac:dyDescent="0.2">
      <c r="A5479" s="366"/>
    </row>
    <row r="5480" spans="1:1" x14ac:dyDescent="0.2">
      <c r="A5480" s="366"/>
    </row>
    <row r="5481" spans="1:1" x14ac:dyDescent="0.2">
      <c r="A5481" s="366"/>
    </row>
    <row r="5482" spans="1:1" x14ac:dyDescent="0.2">
      <c r="A5482" s="366"/>
    </row>
    <row r="5483" spans="1:1" x14ac:dyDescent="0.2">
      <c r="A5483" s="366"/>
    </row>
    <row r="5484" spans="1:1" x14ac:dyDescent="0.2">
      <c r="A5484" s="366"/>
    </row>
    <row r="5485" spans="1:1" x14ac:dyDescent="0.2">
      <c r="A5485" s="366"/>
    </row>
    <row r="5486" spans="1:1" x14ac:dyDescent="0.2">
      <c r="A5486" s="366"/>
    </row>
    <row r="5487" spans="1:1" x14ac:dyDescent="0.2">
      <c r="A5487" s="366"/>
    </row>
    <row r="5488" spans="1:1" x14ac:dyDescent="0.2">
      <c r="A5488" s="366"/>
    </row>
    <row r="5489" spans="1:1" x14ac:dyDescent="0.2">
      <c r="A5489" s="366"/>
    </row>
    <row r="5490" spans="1:1" x14ac:dyDescent="0.2">
      <c r="A5490" s="366"/>
    </row>
    <row r="5491" spans="1:1" x14ac:dyDescent="0.2">
      <c r="A5491" s="366"/>
    </row>
    <row r="5492" spans="1:1" x14ac:dyDescent="0.2">
      <c r="A5492" s="366"/>
    </row>
    <row r="5493" spans="1:1" x14ac:dyDescent="0.2">
      <c r="A5493" s="366"/>
    </row>
    <row r="5494" spans="1:1" x14ac:dyDescent="0.2">
      <c r="A5494" s="366"/>
    </row>
    <row r="5495" spans="1:1" x14ac:dyDescent="0.2">
      <c r="A5495" s="366"/>
    </row>
    <row r="5496" spans="1:1" x14ac:dyDescent="0.2">
      <c r="A5496" s="366"/>
    </row>
    <row r="5497" spans="1:1" x14ac:dyDescent="0.2">
      <c r="A5497" s="366"/>
    </row>
    <row r="5498" spans="1:1" x14ac:dyDescent="0.2">
      <c r="A5498" s="366"/>
    </row>
    <row r="5499" spans="1:1" x14ac:dyDescent="0.2">
      <c r="A5499" s="366"/>
    </row>
    <row r="5500" spans="1:1" x14ac:dyDescent="0.2">
      <c r="A5500" s="366"/>
    </row>
    <row r="5501" spans="1:1" x14ac:dyDescent="0.2">
      <c r="A5501" s="366"/>
    </row>
    <row r="5502" spans="1:1" x14ac:dyDescent="0.2">
      <c r="A5502" s="366"/>
    </row>
    <row r="5503" spans="1:1" x14ac:dyDescent="0.2">
      <c r="A5503" s="366"/>
    </row>
    <row r="5504" spans="1:1" x14ac:dyDescent="0.2">
      <c r="A5504" s="366"/>
    </row>
    <row r="5505" spans="1:1" x14ac:dyDescent="0.2">
      <c r="A5505" s="366"/>
    </row>
    <row r="5506" spans="1:1" x14ac:dyDescent="0.2">
      <c r="A5506" s="366"/>
    </row>
    <row r="5507" spans="1:1" x14ac:dyDescent="0.2">
      <c r="A5507" s="366"/>
    </row>
    <row r="5508" spans="1:1" x14ac:dyDescent="0.2">
      <c r="A5508" s="366"/>
    </row>
    <row r="5509" spans="1:1" x14ac:dyDescent="0.2">
      <c r="A5509" s="366"/>
    </row>
    <row r="5510" spans="1:1" x14ac:dyDescent="0.2">
      <c r="A5510" s="366"/>
    </row>
    <row r="5511" spans="1:1" x14ac:dyDescent="0.2">
      <c r="A5511" s="366"/>
    </row>
    <row r="5512" spans="1:1" x14ac:dyDescent="0.2">
      <c r="A5512" s="366"/>
    </row>
    <row r="5513" spans="1:1" x14ac:dyDescent="0.2">
      <c r="A5513" s="366"/>
    </row>
    <row r="5514" spans="1:1" x14ac:dyDescent="0.2">
      <c r="A5514" s="366"/>
    </row>
    <row r="5515" spans="1:1" x14ac:dyDescent="0.2">
      <c r="A5515" s="366"/>
    </row>
    <row r="5516" spans="1:1" x14ac:dyDescent="0.2">
      <c r="A5516" s="366"/>
    </row>
    <row r="5517" spans="1:1" x14ac:dyDescent="0.2">
      <c r="A5517" s="366"/>
    </row>
    <row r="5518" spans="1:1" x14ac:dyDescent="0.2">
      <c r="A5518" s="366"/>
    </row>
    <row r="5519" spans="1:1" x14ac:dyDescent="0.2">
      <c r="A5519" s="366"/>
    </row>
    <row r="5520" spans="1:1" x14ac:dyDescent="0.2">
      <c r="A5520" s="366"/>
    </row>
    <row r="5521" spans="1:1" x14ac:dyDescent="0.2">
      <c r="A5521" s="366"/>
    </row>
    <row r="5522" spans="1:1" x14ac:dyDescent="0.2">
      <c r="A5522" s="366"/>
    </row>
    <row r="5523" spans="1:1" x14ac:dyDescent="0.2">
      <c r="A5523" s="366"/>
    </row>
    <row r="5524" spans="1:1" x14ac:dyDescent="0.2">
      <c r="A5524" s="366"/>
    </row>
    <row r="5525" spans="1:1" x14ac:dyDescent="0.2">
      <c r="A5525" s="366"/>
    </row>
    <row r="5526" spans="1:1" x14ac:dyDescent="0.2">
      <c r="A5526" s="366"/>
    </row>
    <row r="5527" spans="1:1" x14ac:dyDescent="0.2">
      <c r="A5527" s="366"/>
    </row>
    <row r="5528" spans="1:1" x14ac:dyDescent="0.2">
      <c r="A5528" s="366"/>
    </row>
    <row r="5529" spans="1:1" x14ac:dyDescent="0.2">
      <c r="A5529" s="366"/>
    </row>
    <row r="5530" spans="1:1" x14ac:dyDescent="0.2">
      <c r="A5530" s="366"/>
    </row>
    <row r="5531" spans="1:1" x14ac:dyDescent="0.2">
      <c r="A5531" s="366"/>
    </row>
    <row r="5532" spans="1:1" x14ac:dyDescent="0.2">
      <c r="A5532" s="366"/>
    </row>
    <row r="5533" spans="1:1" x14ac:dyDescent="0.2">
      <c r="A5533" s="366"/>
    </row>
    <row r="5534" spans="1:1" x14ac:dyDescent="0.2">
      <c r="A5534" s="366"/>
    </row>
    <row r="5535" spans="1:1" x14ac:dyDescent="0.2">
      <c r="A5535" s="366"/>
    </row>
    <row r="5536" spans="1:1" x14ac:dyDescent="0.2">
      <c r="A5536" s="366"/>
    </row>
    <row r="5537" spans="1:1" x14ac:dyDescent="0.2">
      <c r="A5537" s="366"/>
    </row>
    <row r="5538" spans="1:1" x14ac:dyDescent="0.2">
      <c r="A5538" s="366"/>
    </row>
    <row r="5539" spans="1:1" x14ac:dyDescent="0.2">
      <c r="A5539" s="366"/>
    </row>
    <row r="5540" spans="1:1" x14ac:dyDescent="0.2">
      <c r="A5540" s="366"/>
    </row>
    <row r="5541" spans="1:1" x14ac:dyDescent="0.2">
      <c r="A5541" s="366"/>
    </row>
    <row r="5542" spans="1:1" x14ac:dyDescent="0.2">
      <c r="A5542" s="366"/>
    </row>
    <row r="5543" spans="1:1" x14ac:dyDescent="0.2">
      <c r="A5543" s="366"/>
    </row>
    <row r="5544" spans="1:1" x14ac:dyDescent="0.2">
      <c r="A5544" s="366"/>
    </row>
    <row r="5545" spans="1:1" x14ac:dyDescent="0.2">
      <c r="A5545" s="366"/>
    </row>
    <row r="5546" spans="1:1" x14ac:dyDescent="0.2">
      <c r="A5546" s="366"/>
    </row>
    <row r="5547" spans="1:1" x14ac:dyDescent="0.2">
      <c r="A5547" s="366"/>
    </row>
    <row r="5548" spans="1:1" x14ac:dyDescent="0.2">
      <c r="A5548" s="366"/>
    </row>
    <row r="5549" spans="1:1" x14ac:dyDescent="0.2">
      <c r="A5549" s="366"/>
    </row>
    <row r="5550" spans="1:1" x14ac:dyDescent="0.2">
      <c r="A5550" s="366"/>
    </row>
    <row r="5551" spans="1:1" x14ac:dyDescent="0.2">
      <c r="A5551" s="366"/>
    </row>
    <row r="5552" spans="1:1" x14ac:dyDescent="0.2">
      <c r="A5552" s="366"/>
    </row>
    <row r="5553" spans="1:1" x14ac:dyDescent="0.2">
      <c r="A5553" s="366"/>
    </row>
    <row r="5554" spans="1:1" x14ac:dyDescent="0.2">
      <c r="A5554" s="366"/>
    </row>
    <row r="5555" spans="1:1" x14ac:dyDescent="0.2">
      <c r="A5555" s="366"/>
    </row>
    <row r="5556" spans="1:1" x14ac:dyDescent="0.2">
      <c r="A5556" s="366"/>
    </row>
    <row r="5557" spans="1:1" x14ac:dyDescent="0.2">
      <c r="A5557" s="366"/>
    </row>
    <row r="5558" spans="1:1" x14ac:dyDescent="0.2">
      <c r="A5558" s="366"/>
    </row>
    <row r="5559" spans="1:1" x14ac:dyDescent="0.2">
      <c r="A5559" s="366"/>
    </row>
    <row r="5560" spans="1:1" x14ac:dyDescent="0.2">
      <c r="A5560" s="366"/>
    </row>
    <row r="5561" spans="1:1" x14ac:dyDescent="0.2">
      <c r="A5561" s="366"/>
    </row>
    <row r="5562" spans="1:1" x14ac:dyDescent="0.2">
      <c r="A5562" s="366"/>
    </row>
    <row r="5563" spans="1:1" x14ac:dyDescent="0.2">
      <c r="A5563" s="366"/>
    </row>
    <row r="5564" spans="1:1" x14ac:dyDescent="0.2">
      <c r="A5564" s="366"/>
    </row>
    <row r="5565" spans="1:1" x14ac:dyDescent="0.2">
      <c r="A5565" s="366"/>
    </row>
    <row r="5566" spans="1:1" x14ac:dyDescent="0.2">
      <c r="A5566" s="366"/>
    </row>
    <row r="5567" spans="1:1" x14ac:dyDescent="0.2">
      <c r="A5567" s="366"/>
    </row>
    <row r="5568" spans="1:1" x14ac:dyDescent="0.2">
      <c r="A5568" s="366"/>
    </row>
    <row r="5569" spans="1:1" x14ac:dyDescent="0.2">
      <c r="A5569" s="366"/>
    </row>
    <row r="5570" spans="1:1" x14ac:dyDescent="0.2">
      <c r="A5570" s="366"/>
    </row>
    <row r="5571" spans="1:1" x14ac:dyDescent="0.2">
      <c r="A5571" s="366"/>
    </row>
    <row r="5572" spans="1:1" x14ac:dyDescent="0.2">
      <c r="A5572" s="366"/>
    </row>
    <row r="5573" spans="1:1" x14ac:dyDescent="0.2">
      <c r="A5573" s="366"/>
    </row>
    <row r="5574" spans="1:1" x14ac:dyDescent="0.2">
      <c r="A5574" s="366"/>
    </row>
    <row r="5575" spans="1:1" x14ac:dyDescent="0.2">
      <c r="A5575" s="366"/>
    </row>
    <row r="5576" spans="1:1" x14ac:dyDescent="0.2">
      <c r="A5576" s="366"/>
    </row>
    <row r="5577" spans="1:1" x14ac:dyDescent="0.2">
      <c r="A5577" s="366"/>
    </row>
    <row r="5578" spans="1:1" x14ac:dyDescent="0.2">
      <c r="A5578" s="366"/>
    </row>
    <row r="5579" spans="1:1" x14ac:dyDescent="0.2">
      <c r="A5579" s="366"/>
    </row>
    <row r="5580" spans="1:1" x14ac:dyDescent="0.2">
      <c r="A5580" s="366"/>
    </row>
    <row r="5581" spans="1:1" x14ac:dyDescent="0.2">
      <c r="A5581" s="366"/>
    </row>
    <row r="5582" spans="1:1" x14ac:dyDescent="0.2">
      <c r="A5582" s="366"/>
    </row>
    <row r="5583" spans="1:1" x14ac:dyDescent="0.2">
      <c r="A5583" s="366"/>
    </row>
    <row r="5584" spans="1:1" x14ac:dyDescent="0.2">
      <c r="A5584" s="366"/>
    </row>
    <row r="5585" spans="1:1" x14ac:dyDescent="0.2">
      <c r="A5585" s="366"/>
    </row>
    <row r="5586" spans="1:1" x14ac:dyDescent="0.2">
      <c r="A5586" s="366"/>
    </row>
    <row r="5587" spans="1:1" x14ac:dyDescent="0.2">
      <c r="A5587" s="366"/>
    </row>
    <row r="5588" spans="1:1" x14ac:dyDescent="0.2">
      <c r="A5588" s="366"/>
    </row>
    <row r="5589" spans="1:1" x14ac:dyDescent="0.2">
      <c r="A5589" s="366"/>
    </row>
    <row r="5590" spans="1:1" x14ac:dyDescent="0.2">
      <c r="A5590" s="366"/>
    </row>
    <row r="5591" spans="1:1" x14ac:dyDescent="0.2">
      <c r="A5591" s="366"/>
    </row>
    <row r="5592" spans="1:1" x14ac:dyDescent="0.2">
      <c r="A5592" s="366"/>
    </row>
    <row r="5593" spans="1:1" x14ac:dyDescent="0.2">
      <c r="A5593" s="366"/>
    </row>
    <row r="5594" spans="1:1" x14ac:dyDescent="0.2">
      <c r="A5594" s="366"/>
    </row>
    <row r="5595" spans="1:1" x14ac:dyDescent="0.2">
      <c r="A5595" s="366"/>
    </row>
    <row r="5596" spans="1:1" x14ac:dyDescent="0.2">
      <c r="A5596" s="366"/>
    </row>
    <row r="5597" spans="1:1" x14ac:dyDescent="0.2">
      <c r="A5597" s="366"/>
    </row>
    <row r="5598" spans="1:1" x14ac:dyDescent="0.2">
      <c r="A5598" s="366"/>
    </row>
    <row r="5599" spans="1:1" x14ac:dyDescent="0.2">
      <c r="A5599" s="366"/>
    </row>
    <row r="5600" spans="1:1" x14ac:dyDescent="0.2">
      <c r="A5600" s="366"/>
    </row>
    <row r="5601" spans="1:1" x14ac:dyDescent="0.2">
      <c r="A5601" s="366"/>
    </row>
    <row r="5602" spans="1:1" x14ac:dyDescent="0.2">
      <c r="A5602" s="366"/>
    </row>
    <row r="5603" spans="1:1" x14ac:dyDescent="0.2">
      <c r="A5603" s="366"/>
    </row>
    <row r="5604" spans="1:1" x14ac:dyDescent="0.2">
      <c r="A5604" s="366"/>
    </row>
    <row r="5605" spans="1:1" x14ac:dyDescent="0.2">
      <c r="A5605" s="366"/>
    </row>
    <row r="5606" spans="1:1" x14ac:dyDescent="0.2">
      <c r="A5606" s="366"/>
    </row>
    <row r="5607" spans="1:1" x14ac:dyDescent="0.2">
      <c r="A5607" s="366"/>
    </row>
    <row r="5608" spans="1:1" x14ac:dyDescent="0.2">
      <c r="A5608" s="366"/>
    </row>
    <row r="5609" spans="1:1" x14ac:dyDescent="0.2">
      <c r="A5609" s="366"/>
    </row>
    <row r="5610" spans="1:1" x14ac:dyDescent="0.2">
      <c r="A5610" s="366"/>
    </row>
    <row r="5611" spans="1:1" x14ac:dyDescent="0.2">
      <c r="A5611" s="366"/>
    </row>
    <row r="5612" spans="1:1" x14ac:dyDescent="0.2">
      <c r="A5612" s="366"/>
    </row>
    <row r="5613" spans="1:1" x14ac:dyDescent="0.2">
      <c r="A5613" s="366"/>
    </row>
    <row r="5614" spans="1:1" x14ac:dyDescent="0.2">
      <c r="A5614" s="366"/>
    </row>
    <row r="5615" spans="1:1" x14ac:dyDescent="0.2">
      <c r="A5615" s="366"/>
    </row>
    <row r="5616" spans="1:1" x14ac:dyDescent="0.2">
      <c r="A5616" s="366"/>
    </row>
    <row r="5617" spans="1:1" x14ac:dyDescent="0.2">
      <c r="A5617" s="366"/>
    </row>
    <row r="5618" spans="1:1" x14ac:dyDescent="0.2">
      <c r="A5618" s="366"/>
    </row>
    <row r="5619" spans="1:1" x14ac:dyDescent="0.2">
      <c r="A5619" s="366"/>
    </row>
    <row r="5620" spans="1:1" x14ac:dyDescent="0.2">
      <c r="A5620" s="366"/>
    </row>
    <row r="5621" spans="1:1" x14ac:dyDescent="0.2">
      <c r="A5621" s="366"/>
    </row>
    <row r="5622" spans="1:1" x14ac:dyDescent="0.2">
      <c r="A5622" s="366"/>
    </row>
    <row r="5623" spans="1:1" x14ac:dyDescent="0.2">
      <c r="A5623" s="366"/>
    </row>
    <row r="5624" spans="1:1" x14ac:dyDescent="0.2">
      <c r="A5624" s="366"/>
    </row>
    <row r="5625" spans="1:1" x14ac:dyDescent="0.2">
      <c r="A5625" s="366"/>
    </row>
    <row r="5626" spans="1:1" x14ac:dyDescent="0.2">
      <c r="A5626" s="366"/>
    </row>
    <row r="5627" spans="1:1" x14ac:dyDescent="0.2">
      <c r="A5627" s="366"/>
    </row>
    <row r="5628" spans="1:1" x14ac:dyDescent="0.2">
      <c r="A5628" s="366"/>
    </row>
    <row r="5629" spans="1:1" x14ac:dyDescent="0.2">
      <c r="A5629" s="366"/>
    </row>
    <row r="5630" spans="1:1" x14ac:dyDescent="0.2">
      <c r="A5630" s="366"/>
    </row>
    <row r="5631" spans="1:1" x14ac:dyDescent="0.2">
      <c r="A5631" s="366"/>
    </row>
    <row r="5632" spans="1:1" x14ac:dyDescent="0.2">
      <c r="A5632" s="366"/>
    </row>
    <row r="5633" spans="1:1" x14ac:dyDescent="0.2">
      <c r="A5633" s="366"/>
    </row>
    <row r="5634" spans="1:1" x14ac:dyDescent="0.2">
      <c r="A5634" s="366"/>
    </row>
    <row r="5635" spans="1:1" x14ac:dyDescent="0.2">
      <c r="A5635" s="366"/>
    </row>
    <row r="5636" spans="1:1" x14ac:dyDescent="0.2">
      <c r="A5636" s="366"/>
    </row>
    <row r="5637" spans="1:1" x14ac:dyDescent="0.2">
      <c r="A5637" s="366"/>
    </row>
    <row r="5638" spans="1:1" x14ac:dyDescent="0.2">
      <c r="A5638" s="366"/>
    </row>
    <row r="5639" spans="1:1" x14ac:dyDescent="0.2">
      <c r="A5639" s="366"/>
    </row>
    <row r="5640" spans="1:1" x14ac:dyDescent="0.2">
      <c r="A5640" s="366"/>
    </row>
    <row r="5641" spans="1:1" x14ac:dyDescent="0.2">
      <c r="A5641" s="366"/>
    </row>
    <row r="5642" spans="1:1" x14ac:dyDescent="0.2">
      <c r="A5642" s="366"/>
    </row>
    <row r="5643" spans="1:1" x14ac:dyDescent="0.2">
      <c r="A5643" s="366"/>
    </row>
    <row r="5644" spans="1:1" x14ac:dyDescent="0.2">
      <c r="A5644" s="366"/>
    </row>
    <row r="5645" spans="1:1" x14ac:dyDescent="0.2">
      <c r="A5645" s="366"/>
    </row>
    <row r="5646" spans="1:1" x14ac:dyDescent="0.2">
      <c r="A5646" s="366"/>
    </row>
    <row r="5647" spans="1:1" x14ac:dyDescent="0.2">
      <c r="A5647" s="366"/>
    </row>
    <row r="5648" spans="1:1" x14ac:dyDescent="0.2">
      <c r="A5648" s="366"/>
    </row>
    <row r="5649" spans="1:1" x14ac:dyDescent="0.2">
      <c r="A5649" s="366"/>
    </row>
    <row r="5650" spans="1:1" x14ac:dyDescent="0.2">
      <c r="A5650" s="366"/>
    </row>
    <row r="5651" spans="1:1" x14ac:dyDescent="0.2">
      <c r="A5651" s="366"/>
    </row>
    <row r="5652" spans="1:1" x14ac:dyDescent="0.2">
      <c r="A5652" s="366"/>
    </row>
    <row r="5653" spans="1:1" x14ac:dyDescent="0.2">
      <c r="A5653" s="366"/>
    </row>
    <row r="5654" spans="1:1" x14ac:dyDescent="0.2">
      <c r="A5654" s="366"/>
    </row>
    <row r="5655" spans="1:1" x14ac:dyDescent="0.2">
      <c r="A5655" s="366"/>
    </row>
    <row r="5656" spans="1:1" x14ac:dyDescent="0.2">
      <c r="A5656" s="366"/>
    </row>
    <row r="5657" spans="1:1" x14ac:dyDescent="0.2">
      <c r="A5657" s="366"/>
    </row>
    <row r="5658" spans="1:1" x14ac:dyDescent="0.2">
      <c r="A5658" s="366"/>
    </row>
    <row r="5659" spans="1:1" x14ac:dyDescent="0.2">
      <c r="A5659" s="366"/>
    </row>
    <row r="5660" spans="1:1" x14ac:dyDescent="0.2">
      <c r="A5660" s="366"/>
    </row>
    <row r="5661" spans="1:1" x14ac:dyDescent="0.2">
      <c r="A5661" s="366"/>
    </row>
    <row r="5662" spans="1:1" x14ac:dyDescent="0.2">
      <c r="A5662" s="366"/>
    </row>
    <row r="5663" spans="1:1" x14ac:dyDescent="0.2">
      <c r="A5663" s="366"/>
    </row>
    <row r="5664" spans="1:1" x14ac:dyDescent="0.2">
      <c r="A5664" s="366"/>
    </row>
    <row r="5665" spans="1:1" x14ac:dyDescent="0.2">
      <c r="A5665" s="366"/>
    </row>
    <row r="5666" spans="1:1" x14ac:dyDescent="0.2">
      <c r="A5666" s="366"/>
    </row>
    <row r="5667" spans="1:1" x14ac:dyDescent="0.2">
      <c r="A5667" s="366"/>
    </row>
    <row r="5668" spans="1:1" x14ac:dyDescent="0.2">
      <c r="A5668" s="366"/>
    </row>
    <row r="5669" spans="1:1" x14ac:dyDescent="0.2">
      <c r="A5669" s="366"/>
    </row>
    <row r="5670" spans="1:1" x14ac:dyDescent="0.2">
      <c r="A5670" s="366"/>
    </row>
    <row r="5671" spans="1:1" x14ac:dyDescent="0.2">
      <c r="A5671" s="366"/>
    </row>
    <row r="5672" spans="1:1" x14ac:dyDescent="0.2">
      <c r="A5672" s="366"/>
    </row>
    <row r="5673" spans="1:1" x14ac:dyDescent="0.2">
      <c r="A5673" s="366"/>
    </row>
    <row r="5674" spans="1:1" x14ac:dyDescent="0.2">
      <c r="A5674" s="366"/>
    </row>
    <row r="5675" spans="1:1" x14ac:dyDescent="0.2">
      <c r="A5675" s="366"/>
    </row>
    <row r="5676" spans="1:1" x14ac:dyDescent="0.2">
      <c r="A5676" s="366"/>
    </row>
    <row r="5677" spans="1:1" x14ac:dyDescent="0.2">
      <c r="A5677" s="366"/>
    </row>
    <row r="5678" spans="1:1" x14ac:dyDescent="0.2">
      <c r="A5678" s="366"/>
    </row>
    <row r="5679" spans="1:1" x14ac:dyDescent="0.2">
      <c r="A5679" s="366"/>
    </row>
    <row r="5680" spans="1:1" x14ac:dyDescent="0.2">
      <c r="A5680" s="366"/>
    </row>
    <row r="5681" spans="1:1" x14ac:dyDescent="0.2">
      <c r="A5681" s="366"/>
    </row>
    <row r="5682" spans="1:1" x14ac:dyDescent="0.2">
      <c r="A5682" s="366"/>
    </row>
    <row r="5683" spans="1:1" x14ac:dyDescent="0.2">
      <c r="A5683" s="366"/>
    </row>
    <row r="5684" spans="1:1" x14ac:dyDescent="0.2">
      <c r="A5684" s="366"/>
    </row>
    <row r="5685" spans="1:1" x14ac:dyDescent="0.2">
      <c r="A5685" s="366"/>
    </row>
    <row r="5686" spans="1:1" x14ac:dyDescent="0.2">
      <c r="A5686" s="366"/>
    </row>
    <row r="5687" spans="1:1" x14ac:dyDescent="0.2">
      <c r="A5687" s="366"/>
    </row>
    <row r="5688" spans="1:1" x14ac:dyDescent="0.2">
      <c r="A5688" s="366"/>
    </row>
    <row r="5689" spans="1:1" x14ac:dyDescent="0.2">
      <c r="A5689" s="366"/>
    </row>
    <row r="5690" spans="1:1" x14ac:dyDescent="0.2">
      <c r="A5690" s="366"/>
    </row>
    <row r="5691" spans="1:1" x14ac:dyDescent="0.2">
      <c r="A5691" s="366"/>
    </row>
    <row r="5692" spans="1:1" x14ac:dyDescent="0.2">
      <c r="A5692" s="366"/>
    </row>
    <row r="5693" spans="1:1" x14ac:dyDescent="0.2">
      <c r="A5693" s="366"/>
    </row>
    <row r="5694" spans="1:1" x14ac:dyDescent="0.2">
      <c r="A5694" s="366"/>
    </row>
    <row r="5695" spans="1:1" x14ac:dyDescent="0.2">
      <c r="A5695" s="366"/>
    </row>
    <row r="5696" spans="1:1" x14ac:dyDescent="0.2">
      <c r="A5696" s="366"/>
    </row>
    <row r="5697" spans="1:1" x14ac:dyDescent="0.2">
      <c r="A5697" s="366"/>
    </row>
    <row r="5698" spans="1:1" x14ac:dyDescent="0.2">
      <c r="A5698" s="366"/>
    </row>
    <row r="5699" spans="1:1" x14ac:dyDescent="0.2">
      <c r="A5699" s="366"/>
    </row>
    <row r="5700" spans="1:1" x14ac:dyDescent="0.2">
      <c r="A5700" s="366"/>
    </row>
    <row r="5701" spans="1:1" x14ac:dyDescent="0.2">
      <c r="A5701" s="366"/>
    </row>
    <row r="5702" spans="1:1" x14ac:dyDescent="0.2">
      <c r="A5702" s="366"/>
    </row>
    <row r="5703" spans="1:1" x14ac:dyDescent="0.2">
      <c r="A5703" s="366"/>
    </row>
    <row r="5704" spans="1:1" x14ac:dyDescent="0.2">
      <c r="A5704" s="366"/>
    </row>
    <row r="5705" spans="1:1" x14ac:dyDescent="0.2">
      <c r="A5705" s="366"/>
    </row>
    <row r="5706" spans="1:1" x14ac:dyDescent="0.2">
      <c r="A5706" s="366"/>
    </row>
    <row r="5707" spans="1:1" x14ac:dyDescent="0.2">
      <c r="A5707" s="366"/>
    </row>
    <row r="5708" spans="1:1" x14ac:dyDescent="0.2">
      <c r="A5708" s="366"/>
    </row>
    <row r="5709" spans="1:1" x14ac:dyDescent="0.2">
      <c r="A5709" s="366"/>
    </row>
    <row r="5710" spans="1:1" x14ac:dyDescent="0.2">
      <c r="A5710" s="366"/>
    </row>
    <row r="5711" spans="1:1" x14ac:dyDescent="0.2">
      <c r="A5711" s="366"/>
    </row>
    <row r="5712" spans="1:1" x14ac:dyDescent="0.2">
      <c r="A5712" s="366"/>
    </row>
    <row r="5713" spans="1:1" x14ac:dyDescent="0.2">
      <c r="A5713" s="366"/>
    </row>
    <row r="5714" spans="1:1" x14ac:dyDescent="0.2">
      <c r="A5714" s="366"/>
    </row>
    <row r="5715" spans="1:1" x14ac:dyDescent="0.2">
      <c r="A5715" s="366"/>
    </row>
    <row r="5716" spans="1:1" x14ac:dyDescent="0.2">
      <c r="A5716" s="366"/>
    </row>
    <row r="5717" spans="1:1" x14ac:dyDescent="0.2">
      <c r="A5717" s="366"/>
    </row>
    <row r="5718" spans="1:1" x14ac:dyDescent="0.2">
      <c r="A5718" s="366"/>
    </row>
    <row r="5719" spans="1:1" x14ac:dyDescent="0.2">
      <c r="A5719" s="366"/>
    </row>
    <row r="5720" spans="1:1" x14ac:dyDescent="0.2">
      <c r="A5720" s="366"/>
    </row>
    <row r="5721" spans="1:1" x14ac:dyDescent="0.2">
      <c r="A5721" s="366"/>
    </row>
    <row r="5722" spans="1:1" x14ac:dyDescent="0.2">
      <c r="A5722" s="366"/>
    </row>
    <row r="5723" spans="1:1" x14ac:dyDescent="0.2">
      <c r="A5723" s="366"/>
    </row>
    <row r="5724" spans="1:1" x14ac:dyDescent="0.2">
      <c r="A5724" s="366"/>
    </row>
    <row r="5725" spans="1:1" x14ac:dyDescent="0.2">
      <c r="A5725" s="366"/>
    </row>
    <row r="5726" spans="1:1" x14ac:dyDescent="0.2">
      <c r="A5726" s="366"/>
    </row>
    <row r="5727" spans="1:1" x14ac:dyDescent="0.2">
      <c r="A5727" s="366"/>
    </row>
    <row r="5728" spans="1:1" x14ac:dyDescent="0.2">
      <c r="A5728" s="366"/>
    </row>
    <row r="5729" spans="1:1" x14ac:dyDescent="0.2">
      <c r="A5729" s="366"/>
    </row>
    <row r="5730" spans="1:1" x14ac:dyDescent="0.2">
      <c r="A5730" s="366"/>
    </row>
    <row r="5731" spans="1:1" x14ac:dyDescent="0.2">
      <c r="A5731" s="366"/>
    </row>
    <row r="5732" spans="1:1" x14ac:dyDescent="0.2">
      <c r="A5732" s="366"/>
    </row>
    <row r="5733" spans="1:1" x14ac:dyDescent="0.2">
      <c r="A5733" s="366"/>
    </row>
    <row r="5734" spans="1:1" x14ac:dyDescent="0.2">
      <c r="A5734" s="366"/>
    </row>
    <row r="5735" spans="1:1" x14ac:dyDescent="0.2">
      <c r="A5735" s="366"/>
    </row>
    <row r="5736" spans="1:1" x14ac:dyDescent="0.2">
      <c r="A5736" s="366"/>
    </row>
    <row r="5737" spans="1:1" x14ac:dyDescent="0.2">
      <c r="A5737" s="366"/>
    </row>
    <row r="5738" spans="1:1" x14ac:dyDescent="0.2">
      <c r="A5738" s="366"/>
    </row>
    <row r="5739" spans="1:1" x14ac:dyDescent="0.2">
      <c r="A5739" s="366"/>
    </row>
    <row r="5740" spans="1:1" x14ac:dyDescent="0.2">
      <c r="A5740" s="366"/>
    </row>
    <row r="5741" spans="1:1" x14ac:dyDescent="0.2">
      <c r="A5741" s="366"/>
    </row>
    <row r="5742" spans="1:1" x14ac:dyDescent="0.2">
      <c r="A5742" s="366"/>
    </row>
    <row r="5743" spans="1:1" x14ac:dyDescent="0.2">
      <c r="A5743" s="366"/>
    </row>
    <row r="5744" spans="1:1" x14ac:dyDescent="0.2">
      <c r="A5744" s="366"/>
    </row>
    <row r="5745" spans="1:1" x14ac:dyDescent="0.2">
      <c r="A5745" s="366"/>
    </row>
    <row r="5746" spans="1:1" x14ac:dyDescent="0.2">
      <c r="A5746" s="366"/>
    </row>
    <row r="5747" spans="1:1" x14ac:dyDescent="0.2">
      <c r="A5747" s="366"/>
    </row>
    <row r="5748" spans="1:1" x14ac:dyDescent="0.2">
      <c r="A5748" s="366"/>
    </row>
    <row r="5749" spans="1:1" x14ac:dyDescent="0.2">
      <c r="A5749" s="366"/>
    </row>
    <row r="5750" spans="1:1" x14ac:dyDescent="0.2">
      <c r="A5750" s="366"/>
    </row>
    <row r="5751" spans="1:1" x14ac:dyDescent="0.2">
      <c r="A5751" s="366"/>
    </row>
    <row r="5752" spans="1:1" x14ac:dyDescent="0.2">
      <c r="A5752" s="366"/>
    </row>
    <row r="5753" spans="1:1" x14ac:dyDescent="0.2">
      <c r="A5753" s="366"/>
    </row>
    <row r="5754" spans="1:1" x14ac:dyDescent="0.2">
      <c r="A5754" s="366"/>
    </row>
    <row r="5755" spans="1:1" x14ac:dyDescent="0.2">
      <c r="A5755" s="366"/>
    </row>
    <row r="5756" spans="1:1" x14ac:dyDescent="0.2">
      <c r="A5756" s="366"/>
    </row>
    <row r="5757" spans="1:1" x14ac:dyDescent="0.2">
      <c r="A5757" s="366"/>
    </row>
    <row r="5758" spans="1:1" x14ac:dyDescent="0.2">
      <c r="A5758" s="366"/>
    </row>
    <row r="5759" spans="1:1" x14ac:dyDescent="0.2">
      <c r="A5759" s="366"/>
    </row>
    <row r="5760" spans="1:1" x14ac:dyDescent="0.2">
      <c r="A5760" s="366"/>
    </row>
    <row r="5761" spans="1:1" x14ac:dyDescent="0.2">
      <c r="A5761" s="366"/>
    </row>
    <row r="5762" spans="1:1" x14ac:dyDescent="0.2">
      <c r="A5762" s="366"/>
    </row>
    <row r="5763" spans="1:1" x14ac:dyDescent="0.2">
      <c r="A5763" s="366"/>
    </row>
    <row r="5764" spans="1:1" x14ac:dyDescent="0.2">
      <c r="A5764" s="366"/>
    </row>
    <row r="5765" spans="1:1" x14ac:dyDescent="0.2">
      <c r="A5765" s="366"/>
    </row>
    <row r="5766" spans="1:1" x14ac:dyDescent="0.2">
      <c r="A5766" s="366"/>
    </row>
    <row r="5767" spans="1:1" x14ac:dyDescent="0.2">
      <c r="A5767" s="366"/>
    </row>
    <row r="5768" spans="1:1" x14ac:dyDescent="0.2">
      <c r="A5768" s="366"/>
    </row>
    <row r="5769" spans="1:1" x14ac:dyDescent="0.2">
      <c r="A5769" s="366"/>
    </row>
    <row r="5770" spans="1:1" x14ac:dyDescent="0.2">
      <c r="A5770" s="366"/>
    </row>
    <row r="5771" spans="1:1" x14ac:dyDescent="0.2">
      <c r="A5771" s="366"/>
    </row>
    <row r="5772" spans="1:1" x14ac:dyDescent="0.2">
      <c r="A5772" s="366"/>
    </row>
    <row r="5773" spans="1:1" x14ac:dyDescent="0.2">
      <c r="A5773" s="366"/>
    </row>
    <row r="5774" spans="1:1" x14ac:dyDescent="0.2">
      <c r="A5774" s="366"/>
    </row>
    <row r="5775" spans="1:1" x14ac:dyDescent="0.2">
      <c r="A5775" s="366"/>
    </row>
    <row r="5776" spans="1:1" x14ac:dyDescent="0.2">
      <c r="A5776" s="366"/>
    </row>
    <row r="5777" spans="1:1" x14ac:dyDescent="0.2">
      <c r="A5777" s="366"/>
    </row>
    <row r="5778" spans="1:1" x14ac:dyDescent="0.2">
      <c r="A5778" s="366"/>
    </row>
    <row r="5779" spans="1:1" x14ac:dyDescent="0.2">
      <c r="A5779" s="366"/>
    </row>
    <row r="5780" spans="1:1" x14ac:dyDescent="0.2">
      <c r="A5780" s="366"/>
    </row>
    <row r="5781" spans="1:1" x14ac:dyDescent="0.2">
      <c r="A5781" s="366"/>
    </row>
    <row r="5782" spans="1:1" x14ac:dyDescent="0.2">
      <c r="A5782" s="366"/>
    </row>
    <row r="5783" spans="1:1" x14ac:dyDescent="0.2">
      <c r="A5783" s="366"/>
    </row>
    <row r="5784" spans="1:1" x14ac:dyDescent="0.2">
      <c r="A5784" s="366"/>
    </row>
    <row r="5785" spans="1:1" x14ac:dyDescent="0.2">
      <c r="A5785" s="366"/>
    </row>
    <row r="5786" spans="1:1" x14ac:dyDescent="0.2">
      <c r="A5786" s="366"/>
    </row>
    <row r="5787" spans="1:1" x14ac:dyDescent="0.2">
      <c r="A5787" s="366"/>
    </row>
    <row r="5788" spans="1:1" x14ac:dyDescent="0.2">
      <c r="A5788" s="366"/>
    </row>
    <row r="5789" spans="1:1" x14ac:dyDescent="0.2">
      <c r="A5789" s="366"/>
    </row>
    <row r="5790" spans="1:1" x14ac:dyDescent="0.2">
      <c r="A5790" s="366"/>
    </row>
    <row r="5791" spans="1:1" x14ac:dyDescent="0.2">
      <c r="A5791" s="366"/>
    </row>
    <row r="5792" spans="1:1" x14ac:dyDescent="0.2">
      <c r="A5792" s="366"/>
    </row>
    <row r="5793" spans="1:1" x14ac:dyDescent="0.2">
      <c r="A5793" s="366"/>
    </row>
    <row r="5794" spans="1:1" x14ac:dyDescent="0.2">
      <c r="A5794" s="366"/>
    </row>
    <row r="5795" spans="1:1" x14ac:dyDescent="0.2">
      <c r="A5795" s="366"/>
    </row>
    <row r="5796" spans="1:1" x14ac:dyDescent="0.2">
      <c r="A5796" s="366"/>
    </row>
    <row r="5797" spans="1:1" x14ac:dyDescent="0.2">
      <c r="A5797" s="366"/>
    </row>
    <row r="5798" spans="1:1" x14ac:dyDescent="0.2">
      <c r="A5798" s="366"/>
    </row>
    <row r="5799" spans="1:1" x14ac:dyDescent="0.2">
      <c r="A5799" s="366"/>
    </row>
    <row r="5800" spans="1:1" x14ac:dyDescent="0.2">
      <c r="A5800" s="366"/>
    </row>
    <row r="5801" spans="1:1" x14ac:dyDescent="0.2">
      <c r="A5801" s="366"/>
    </row>
    <row r="5802" spans="1:1" x14ac:dyDescent="0.2">
      <c r="A5802" s="366"/>
    </row>
    <row r="5803" spans="1:1" x14ac:dyDescent="0.2">
      <c r="A5803" s="366"/>
    </row>
    <row r="5804" spans="1:1" x14ac:dyDescent="0.2">
      <c r="A5804" s="366"/>
    </row>
    <row r="5805" spans="1:1" x14ac:dyDescent="0.2">
      <c r="A5805" s="366"/>
    </row>
    <row r="5806" spans="1:1" x14ac:dyDescent="0.2">
      <c r="A5806" s="366"/>
    </row>
    <row r="5807" spans="1:1" x14ac:dyDescent="0.2">
      <c r="A5807" s="366"/>
    </row>
    <row r="5808" spans="1:1" x14ac:dyDescent="0.2">
      <c r="A5808" s="366"/>
    </row>
    <row r="5809" spans="1:1" x14ac:dyDescent="0.2">
      <c r="A5809" s="366"/>
    </row>
    <row r="5810" spans="1:1" x14ac:dyDescent="0.2">
      <c r="A5810" s="366"/>
    </row>
    <row r="5811" spans="1:1" x14ac:dyDescent="0.2">
      <c r="A5811" s="366"/>
    </row>
    <row r="5812" spans="1:1" x14ac:dyDescent="0.2">
      <c r="A5812" s="366"/>
    </row>
    <row r="5813" spans="1:1" x14ac:dyDescent="0.2">
      <c r="A5813" s="366"/>
    </row>
    <row r="5814" spans="1:1" x14ac:dyDescent="0.2">
      <c r="A5814" s="366"/>
    </row>
    <row r="5815" spans="1:1" x14ac:dyDescent="0.2">
      <c r="A5815" s="366"/>
    </row>
    <row r="5816" spans="1:1" x14ac:dyDescent="0.2">
      <c r="A5816" s="366"/>
    </row>
    <row r="5817" spans="1:1" x14ac:dyDescent="0.2">
      <c r="A5817" s="366"/>
    </row>
    <row r="5818" spans="1:1" x14ac:dyDescent="0.2">
      <c r="A5818" s="366"/>
    </row>
    <row r="5819" spans="1:1" x14ac:dyDescent="0.2">
      <c r="A5819" s="366"/>
    </row>
    <row r="5820" spans="1:1" x14ac:dyDescent="0.2">
      <c r="A5820" s="366"/>
    </row>
    <row r="5821" spans="1:1" x14ac:dyDescent="0.2">
      <c r="A5821" s="366"/>
    </row>
    <row r="5822" spans="1:1" x14ac:dyDescent="0.2">
      <c r="A5822" s="366"/>
    </row>
    <row r="5823" spans="1:1" x14ac:dyDescent="0.2">
      <c r="A5823" s="366"/>
    </row>
    <row r="5824" spans="1:1" x14ac:dyDescent="0.2">
      <c r="A5824" s="366"/>
    </row>
    <row r="5825" spans="1:1" x14ac:dyDescent="0.2">
      <c r="A5825" s="366"/>
    </row>
    <row r="5826" spans="1:1" x14ac:dyDescent="0.2">
      <c r="A5826" s="366"/>
    </row>
    <row r="5827" spans="1:1" x14ac:dyDescent="0.2">
      <c r="A5827" s="366"/>
    </row>
    <row r="5828" spans="1:1" x14ac:dyDescent="0.2">
      <c r="A5828" s="366"/>
    </row>
    <row r="5829" spans="1:1" x14ac:dyDescent="0.2">
      <c r="A5829" s="366"/>
    </row>
    <row r="5830" spans="1:1" x14ac:dyDescent="0.2">
      <c r="A5830" s="366"/>
    </row>
    <row r="5831" spans="1:1" x14ac:dyDescent="0.2">
      <c r="A5831" s="366"/>
    </row>
    <row r="5832" spans="1:1" x14ac:dyDescent="0.2">
      <c r="A5832" s="366"/>
    </row>
    <row r="5833" spans="1:1" x14ac:dyDescent="0.2">
      <c r="A5833" s="366"/>
    </row>
    <row r="5834" spans="1:1" x14ac:dyDescent="0.2">
      <c r="A5834" s="366"/>
    </row>
    <row r="5835" spans="1:1" x14ac:dyDescent="0.2">
      <c r="A5835" s="366"/>
    </row>
    <row r="5836" spans="1:1" x14ac:dyDescent="0.2">
      <c r="A5836" s="366"/>
    </row>
    <row r="5837" spans="1:1" x14ac:dyDescent="0.2">
      <c r="A5837" s="366"/>
    </row>
    <row r="5838" spans="1:1" x14ac:dyDescent="0.2">
      <c r="A5838" s="366"/>
    </row>
    <row r="5839" spans="1:1" x14ac:dyDescent="0.2">
      <c r="A5839" s="366"/>
    </row>
    <row r="5840" spans="1:1" x14ac:dyDescent="0.2">
      <c r="A5840" s="366"/>
    </row>
    <row r="5841" spans="1:1" x14ac:dyDescent="0.2">
      <c r="A5841" s="366"/>
    </row>
    <row r="5842" spans="1:1" x14ac:dyDescent="0.2">
      <c r="A5842" s="366"/>
    </row>
    <row r="5843" spans="1:1" x14ac:dyDescent="0.2">
      <c r="A5843" s="366"/>
    </row>
    <row r="5844" spans="1:1" x14ac:dyDescent="0.2">
      <c r="A5844" s="366"/>
    </row>
    <row r="5845" spans="1:1" x14ac:dyDescent="0.2">
      <c r="A5845" s="366"/>
    </row>
    <row r="5846" spans="1:1" x14ac:dyDescent="0.2">
      <c r="A5846" s="366"/>
    </row>
    <row r="5847" spans="1:1" x14ac:dyDescent="0.2">
      <c r="A5847" s="366"/>
    </row>
    <row r="5848" spans="1:1" x14ac:dyDescent="0.2">
      <c r="A5848" s="366"/>
    </row>
    <row r="5849" spans="1:1" x14ac:dyDescent="0.2">
      <c r="A5849" s="366"/>
    </row>
    <row r="5850" spans="1:1" x14ac:dyDescent="0.2">
      <c r="A5850" s="366"/>
    </row>
    <row r="5851" spans="1:1" x14ac:dyDescent="0.2">
      <c r="A5851" s="366"/>
    </row>
    <row r="5852" spans="1:1" x14ac:dyDescent="0.2">
      <c r="A5852" s="366"/>
    </row>
    <row r="5853" spans="1:1" x14ac:dyDescent="0.2">
      <c r="A5853" s="366"/>
    </row>
    <row r="5854" spans="1:1" x14ac:dyDescent="0.2">
      <c r="A5854" s="366"/>
    </row>
    <row r="5855" spans="1:1" x14ac:dyDescent="0.2">
      <c r="A5855" s="366"/>
    </row>
    <row r="5856" spans="1:1" x14ac:dyDescent="0.2">
      <c r="A5856" s="366"/>
    </row>
    <row r="5857" spans="1:1" x14ac:dyDescent="0.2">
      <c r="A5857" s="366"/>
    </row>
    <row r="5858" spans="1:1" x14ac:dyDescent="0.2">
      <c r="A5858" s="366"/>
    </row>
    <row r="5859" spans="1:1" x14ac:dyDescent="0.2">
      <c r="A5859" s="366"/>
    </row>
    <row r="5860" spans="1:1" x14ac:dyDescent="0.2">
      <c r="A5860" s="366"/>
    </row>
    <row r="5861" spans="1:1" x14ac:dyDescent="0.2">
      <c r="A5861" s="366"/>
    </row>
    <row r="5862" spans="1:1" x14ac:dyDescent="0.2">
      <c r="A5862" s="366"/>
    </row>
    <row r="5863" spans="1:1" x14ac:dyDescent="0.2">
      <c r="A5863" s="366"/>
    </row>
    <row r="5864" spans="1:1" x14ac:dyDescent="0.2">
      <c r="A5864" s="366"/>
    </row>
    <row r="5865" spans="1:1" x14ac:dyDescent="0.2">
      <c r="A5865" s="366"/>
    </row>
    <row r="5866" spans="1:1" x14ac:dyDescent="0.2">
      <c r="A5866" s="366"/>
    </row>
    <row r="5867" spans="1:1" x14ac:dyDescent="0.2">
      <c r="A5867" s="366"/>
    </row>
    <row r="5868" spans="1:1" x14ac:dyDescent="0.2">
      <c r="A5868" s="366"/>
    </row>
    <row r="5869" spans="1:1" x14ac:dyDescent="0.2">
      <c r="A5869" s="366"/>
    </row>
    <row r="5870" spans="1:1" x14ac:dyDescent="0.2">
      <c r="A5870" s="366"/>
    </row>
    <row r="5871" spans="1:1" x14ac:dyDescent="0.2">
      <c r="A5871" s="366"/>
    </row>
    <row r="5872" spans="1:1" x14ac:dyDescent="0.2">
      <c r="A5872" s="366"/>
    </row>
    <row r="5873" spans="1:1" x14ac:dyDescent="0.2">
      <c r="A5873" s="366"/>
    </row>
    <row r="5874" spans="1:1" x14ac:dyDescent="0.2">
      <c r="A5874" s="366"/>
    </row>
    <row r="5875" spans="1:1" x14ac:dyDescent="0.2">
      <c r="A5875" s="366"/>
    </row>
    <row r="5876" spans="1:1" x14ac:dyDescent="0.2">
      <c r="A5876" s="366"/>
    </row>
    <row r="5877" spans="1:1" x14ac:dyDescent="0.2">
      <c r="A5877" s="366"/>
    </row>
    <row r="5878" spans="1:1" x14ac:dyDescent="0.2">
      <c r="A5878" s="366"/>
    </row>
    <row r="5879" spans="1:1" x14ac:dyDescent="0.2">
      <c r="A5879" s="366"/>
    </row>
    <row r="5880" spans="1:1" x14ac:dyDescent="0.2">
      <c r="A5880" s="366"/>
    </row>
    <row r="5881" spans="1:1" x14ac:dyDescent="0.2">
      <c r="A5881" s="366"/>
    </row>
    <row r="5882" spans="1:1" x14ac:dyDescent="0.2">
      <c r="A5882" s="366"/>
    </row>
    <row r="5883" spans="1:1" x14ac:dyDescent="0.2">
      <c r="A5883" s="366"/>
    </row>
    <row r="5884" spans="1:1" x14ac:dyDescent="0.2">
      <c r="A5884" s="366"/>
    </row>
    <row r="5885" spans="1:1" x14ac:dyDescent="0.2">
      <c r="A5885" s="366"/>
    </row>
    <row r="5886" spans="1:1" x14ac:dyDescent="0.2">
      <c r="A5886" s="366"/>
    </row>
    <row r="5887" spans="1:1" x14ac:dyDescent="0.2">
      <c r="A5887" s="366"/>
    </row>
    <row r="5888" spans="1:1" x14ac:dyDescent="0.2">
      <c r="A5888" s="366"/>
    </row>
    <row r="5889" spans="1:1" x14ac:dyDescent="0.2">
      <c r="A5889" s="366"/>
    </row>
    <row r="5890" spans="1:1" x14ac:dyDescent="0.2">
      <c r="A5890" s="366"/>
    </row>
    <row r="5891" spans="1:1" x14ac:dyDescent="0.2">
      <c r="A5891" s="366"/>
    </row>
    <row r="5892" spans="1:1" x14ac:dyDescent="0.2">
      <c r="A5892" s="366"/>
    </row>
    <row r="5893" spans="1:1" x14ac:dyDescent="0.2">
      <c r="A5893" s="366"/>
    </row>
    <row r="5894" spans="1:1" x14ac:dyDescent="0.2">
      <c r="A5894" s="366"/>
    </row>
    <row r="5895" spans="1:1" x14ac:dyDescent="0.2">
      <c r="A5895" s="366"/>
    </row>
    <row r="5896" spans="1:1" x14ac:dyDescent="0.2">
      <c r="A5896" s="366"/>
    </row>
    <row r="5897" spans="1:1" x14ac:dyDescent="0.2">
      <c r="A5897" s="366"/>
    </row>
    <row r="5898" spans="1:1" x14ac:dyDescent="0.2">
      <c r="A5898" s="366"/>
    </row>
    <row r="5899" spans="1:1" x14ac:dyDescent="0.2">
      <c r="A5899" s="366"/>
    </row>
    <row r="5900" spans="1:1" x14ac:dyDescent="0.2">
      <c r="A5900" s="366"/>
    </row>
    <row r="5901" spans="1:1" x14ac:dyDescent="0.2">
      <c r="A5901" s="366"/>
    </row>
    <row r="5902" spans="1:1" x14ac:dyDescent="0.2">
      <c r="A5902" s="366"/>
    </row>
    <row r="5903" spans="1:1" x14ac:dyDescent="0.2">
      <c r="A5903" s="366"/>
    </row>
    <row r="5904" spans="1:1" x14ac:dyDescent="0.2">
      <c r="A5904" s="366"/>
    </row>
    <row r="5905" spans="1:1" x14ac:dyDescent="0.2">
      <c r="A5905" s="366"/>
    </row>
    <row r="5906" spans="1:1" x14ac:dyDescent="0.2">
      <c r="A5906" s="366"/>
    </row>
    <row r="5907" spans="1:1" x14ac:dyDescent="0.2">
      <c r="A5907" s="366"/>
    </row>
    <row r="5908" spans="1:1" x14ac:dyDescent="0.2">
      <c r="A5908" s="366"/>
    </row>
    <row r="5909" spans="1:1" x14ac:dyDescent="0.2">
      <c r="A5909" s="366"/>
    </row>
    <row r="5910" spans="1:1" x14ac:dyDescent="0.2">
      <c r="A5910" s="366"/>
    </row>
    <row r="5911" spans="1:1" x14ac:dyDescent="0.2">
      <c r="A5911" s="366"/>
    </row>
    <row r="5912" spans="1:1" x14ac:dyDescent="0.2">
      <c r="A5912" s="366"/>
    </row>
    <row r="5913" spans="1:1" x14ac:dyDescent="0.2">
      <c r="A5913" s="366"/>
    </row>
    <row r="5914" spans="1:1" x14ac:dyDescent="0.2">
      <c r="A5914" s="366"/>
    </row>
    <row r="5915" spans="1:1" x14ac:dyDescent="0.2">
      <c r="A5915" s="366"/>
    </row>
    <row r="5916" spans="1:1" x14ac:dyDescent="0.2">
      <c r="A5916" s="366"/>
    </row>
    <row r="5917" spans="1:1" x14ac:dyDescent="0.2">
      <c r="A5917" s="366"/>
    </row>
    <row r="5918" spans="1:1" x14ac:dyDescent="0.2">
      <c r="A5918" s="366"/>
    </row>
    <row r="5919" spans="1:1" x14ac:dyDescent="0.2">
      <c r="A5919" s="366"/>
    </row>
    <row r="5920" spans="1:1" x14ac:dyDescent="0.2">
      <c r="A5920" s="366"/>
    </row>
    <row r="5921" spans="1:1" x14ac:dyDescent="0.2">
      <c r="A5921" s="366"/>
    </row>
    <row r="5922" spans="1:1" x14ac:dyDescent="0.2">
      <c r="A5922" s="366"/>
    </row>
    <row r="5923" spans="1:1" x14ac:dyDescent="0.2">
      <c r="A5923" s="366"/>
    </row>
    <row r="5924" spans="1:1" x14ac:dyDescent="0.2">
      <c r="A5924" s="366"/>
    </row>
    <row r="5925" spans="1:1" x14ac:dyDescent="0.2">
      <c r="A5925" s="366"/>
    </row>
    <row r="5926" spans="1:1" x14ac:dyDescent="0.2">
      <c r="A5926" s="366"/>
    </row>
    <row r="5927" spans="1:1" x14ac:dyDescent="0.2">
      <c r="A5927" s="366"/>
    </row>
    <row r="5928" spans="1:1" x14ac:dyDescent="0.2">
      <c r="A5928" s="366"/>
    </row>
    <row r="5929" spans="1:1" x14ac:dyDescent="0.2">
      <c r="A5929" s="366"/>
    </row>
    <row r="5930" spans="1:1" x14ac:dyDescent="0.2">
      <c r="A5930" s="366"/>
    </row>
    <row r="5931" spans="1:1" x14ac:dyDescent="0.2">
      <c r="A5931" s="366"/>
    </row>
    <row r="5932" spans="1:1" x14ac:dyDescent="0.2">
      <c r="A5932" s="366"/>
    </row>
    <row r="5933" spans="1:1" x14ac:dyDescent="0.2">
      <c r="A5933" s="366"/>
    </row>
    <row r="5934" spans="1:1" x14ac:dyDescent="0.2">
      <c r="A5934" s="366"/>
    </row>
    <row r="5935" spans="1:1" x14ac:dyDescent="0.2">
      <c r="A5935" s="366"/>
    </row>
    <row r="5936" spans="1:1" x14ac:dyDescent="0.2">
      <c r="A5936" s="366"/>
    </row>
    <row r="5937" spans="1:1" x14ac:dyDescent="0.2">
      <c r="A5937" s="366"/>
    </row>
    <row r="5938" spans="1:1" x14ac:dyDescent="0.2">
      <c r="A5938" s="366"/>
    </row>
    <row r="5939" spans="1:1" x14ac:dyDescent="0.2">
      <c r="A5939" s="366"/>
    </row>
    <row r="5940" spans="1:1" x14ac:dyDescent="0.2">
      <c r="A5940" s="366"/>
    </row>
    <row r="5941" spans="1:1" x14ac:dyDescent="0.2">
      <c r="A5941" s="366"/>
    </row>
    <row r="5942" spans="1:1" x14ac:dyDescent="0.2">
      <c r="A5942" s="366"/>
    </row>
    <row r="5943" spans="1:1" x14ac:dyDescent="0.2">
      <c r="A5943" s="366"/>
    </row>
    <row r="5944" spans="1:1" x14ac:dyDescent="0.2">
      <c r="A5944" s="366"/>
    </row>
    <row r="5945" spans="1:1" x14ac:dyDescent="0.2">
      <c r="A5945" s="366"/>
    </row>
    <row r="5946" spans="1:1" x14ac:dyDescent="0.2">
      <c r="A5946" s="366"/>
    </row>
    <row r="5947" spans="1:1" x14ac:dyDescent="0.2">
      <c r="A5947" s="366"/>
    </row>
    <row r="5948" spans="1:1" x14ac:dyDescent="0.2">
      <c r="A5948" s="366"/>
    </row>
    <row r="5949" spans="1:1" x14ac:dyDescent="0.2">
      <c r="A5949" s="366"/>
    </row>
    <row r="5950" spans="1:1" x14ac:dyDescent="0.2">
      <c r="A5950" s="366"/>
    </row>
    <row r="5951" spans="1:1" x14ac:dyDescent="0.2">
      <c r="A5951" s="366"/>
    </row>
    <row r="5952" spans="1:1" x14ac:dyDescent="0.2">
      <c r="A5952" s="366"/>
    </row>
    <row r="5953" spans="1:1" x14ac:dyDescent="0.2">
      <c r="A5953" s="366"/>
    </row>
    <row r="5954" spans="1:1" x14ac:dyDescent="0.2">
      <c r="A5954" s="366"/>
    </row>
    <row r="5955" spans="1:1" x14ac:dyDescent="0.2">
      <c r="A5955" s="366"/>
    </row>
    <row r="5956" spans="1:1" x14ac:dyDescent="0.2">
      <c r="A5956" s="366"/>
    </row>
    <row r="5957" spans="1:1" x14ac:dyDescent="0.2">
      <c r="A5957" s="366"/>
    </row>
    <row r="5958" spans="1:1" x14ac:dyDescent="0.2">
      <c r="A5958" s="366"/>
    </row>
    <row r="5959" spans="1:1" x14ac:dyDescent="0.2">
      <c r="A5959" s="366"/>
    </row>
    <row r="5960" spans="1:1" x14ac:dyDescent="0.2">
      <c r="A5960" s="366"/>
    </row>
    <row r="5961" spans="1:1" x14ac:dyDescent="0.2">
      <c r="A5961" s="366"/>
    </row>
    <row r="5962" spans="1:1" x14ac:dyDescent="0.2">
      <c r="A5962" s="366"/>
    </row>
    <row r="5963" spans="1:1" x14ac:dyDescent="0.2">
      <c r="A5963" s="366"/>
    </row>
    <row r="5964" spans="1:1" x14ac:dyDescent="0.2">
      <c r="A5964" s="366"/>
    </row>
    <row r="5965" spans="1:1" x14ac:dyDescent="0.2">
      <c r="A5965" s="366"/>
    </row>
    <row r="5966" spans="1:1" x14ac:dyDescent="0.2">
      <c r="A5966" s="366"/>
    </row>
    <row r="5967" spans="1:1" x14ac:dyDescent="0.2">
      <c r="A5967" s="366"/>
    </row>
    <row r="5968" spans="1:1" x14ac:dyDescent="0.2">
      <c r="A5968" s="366"/>
    </row>
    <row r="5969" spans="1:1" x14ac:dyDescent="0.2">
      <c r="A5969" s="366"/>
    </row>
    <row r="5970" spans="1:1" x14ac:dyDescent="0.2">
      <c r="A5970" s="366"/>
    </row>
    <row r="5971" spans="1:1" x14ac:dyDescent="0.2">
      <c r="A5971" s="366"/>
    </row>
    <row r="5972" spans="1:1" x14ac:dyDescent="0.2">
      <c r="A5972" s="366"/>
    </row>
    <row r="5973" spans="1:1" x14ac:dyDescent="0.2">
      <c r="A5973" s="366"/>
    </row>
    <row r="5974" spans="1:1" x14ac:dyDescent="0.2">
      <c r="A5974" s="366"/>
    </row>
    <row r="5975" spans="1:1" x14ac:dyDescent="0.2">
      <c r="A5975" s="366"/>
    </row>
    <row r="5976" spans="1:1" x14ac:dyDescent="0.2">
      <c r="A5976" s="366"/>
    </row>
    <row r="5977" spans="1:1" x14ac:dyDescent="0.2">
      <c r="A5977" s="366"/>
    </row>
    <row r="5978" spans="1:1" x14ac:dyDescent="0.2">
      <c r="A5978" s="366"/>
    </row>
    <row r="5979" spans="1:1" x14ac:dyDescent="0.2">
      <c r="A5979" s="366"/>
    </row>
    <row r="5980" spans="1:1" x14ac:dyDescent="0.2">
      <c r="A5980" s="366"/>
    </row>
    <row r="5981" spans="1:1" x14ac:dyDescent="0.2">
      <c r="A5981" s="366"/>
    </row>
    <row r="5982" spans="1:1" x14ac:dyDescent="0.2">
      <c r="A5982" s="366"/>
    </row>
    <row r="5983" spans="1:1" x14ac:dyDescent="0.2">
      <c r="A5983" s="366"/>
    </row>
    <row r="5984" spans="1:1" x14ac:dyDescent="0.2">
      <c r="A5984" s="366"/>
    </row>
    <row r="5985" spans="1:1" x14ac:dyDescent="0.2">
      <c r="A5985" s="366"/>
    </row>
    <row r="5986" spans="1:1" x14ac:dyDescent="0.2">
      <c r="A5986" s="366"/>
    </row>
    <row r="5987" spans="1:1" x14ac:dyDescent="0.2">
      <c r="A5987" s="366"/>
    </row>
    <row r="5988" spans="1:1" x14ac:dyDescent="0.2">
      <c r="A5988" s="366"/>
    </row>
    <row r="5989" spans="1:1" x14ac:dyDescent="0.2">
      <c r="A5989" s="366"/>
    </row>
    <row r="5990" spans="1:1" x14ac:dyDescent="0.2">
      <c r="A5990" s="366"/>
    </row>
    <row r="5991" spans="1:1" x14ac:dyDescent="0.2">
      <c r="A5991" s="366"/>
    </row>
    <row r="5992" spans="1:1" x14ac:dyDescent="0.2">
      <c r="A5992" s="366"/>
    </row>
    <row r="5993" spans="1:1" x14ac:dyDescent="0.2">
      <c r="A5993" s="366"/>
    </row>
    <row r="5994" spans="1:1" x14ac:dyDescent="0.2">
      <c r="A5994" s="366"/>
    </row>
    <row r="5995" spans="1:1" x14ac:dyDescent="0.2">
      <c r="A5995" s="366"/>
    </row>
    <row r="5996" spans="1:1" x14ac:dyDescent="0.2">
      <c r="A5996" s="366"/>
    </row>
    <row r="5997" spans="1:1" x14ac:dyDescent="0.2">
      <c r="A5997" s="366"/>
    </row>
    <row r="5998" spans="1:1" x14ac:dyDescent="0.2">
      <c r="A5998" s="366"/>
    </row>
    <row r="5999" spans="1:1" x14ac:dyDescent="0.2">
      <c r="A5999" s="366"/>
    </row>
    <row r="6000" spans="1:1" x14ac:dyDescent="0.2">
      <c r="A6000" s="366"/>
    </row>
    <row r="6001" spans="1:1" x14ac:dyDescent="0.2">
      <c r="A6001" s="366"/>
    </row>
    <row r="6002" spans="1:1" x14ac:dyDescent="0.2">
      <c r="A6002" s="366"/>
    </row>
    <row r="6003" spans="1:1" x14ac:dyDescent="0.2">
      <c r="A6003" s="366"/>
    </row>
    <row r="6004" spans="1:1" x14ac:dyDescent="0.2">
      <c r="A6004" s="366"/>
    </row>
    <row r="6005" spans="1:1" x14ac:dyDescent="0.2">
      <c r="A6005" s="366"/>
    </row>
    <row r="6006" spans="1:1" x14ac:dyDescent="0.2">
      <c r="A6006" s="366"/>
    </row>
    <row r="6007" spans="1:1" x14ac:dyDescent="0.2">
      <c r="A6007" s="366"/>
    </row>
    <row r="6008" spans="1:1" x14ac:dyDescent="0.2">
      <c r="A6008" s="366"/>
    </row>
    <row r="6009" spans="1:1" x14ac:dyDescent="0.2">
      <c r="A6009" s="366"/>
    </row>
    <row r="6010" spans="1:1" x14ac:dyDescent="0.2">
      <c r="A6010" s="366"/>
    </row>
    <row r="6011" spans="1:1" x14ac:dyDescent="0.2">
      <c r="A6011" s="366"/>
    </row>
    <row r="6012" spans="1:1" x14ac:dyDescent="0.2">
      <c r="A6012" s="366"/>
    </row>
    <row r="6013" spans="1:1" x14ac:dyDescent="0.2">
      <c r="A6013" s="366"/>
    </row>
    <row r="6014" spans="1:1" x14ac:dyDescent="0.2">
      <c r="A6014" s="366"/>
    </row>
    <row r="6015" spans="1:1" x14ac:dyDescent="0.2">
      <c r="A6015" s="366"/>
    </row>
    <row r="6016" spans="1:1" x14ac:dyDescent="0.2">
      <c r="A6016" s="366"/>
    </row>
    <row r="6017" spans="1:1" x14ac:dyDescent="0.2">
      <c r="A6017" s="366"/>
    </row>
    <row r="6018" spans="1:1" x14ac:dyDescent="0.2">
      <c r="A6018" s="366"/>
    </row>
    <row r="6019" spans="1:1" x14ac:dyDescent="0.2">
      <c r="A6019" s="366"/>
    </row>
    <row r="6020" spans="1:1" x14ac:dyDescent="0.2">
      <c r="A6020" s="366"/>
    </row>
    <row r="6021" spans="1:1" x14ac:dyDescent="0.2">
      <c r="A6021" s="366"/>
    </row>
    <row r="6022" spans="1:1" x14ac:dyDescent="0.2">
      <c r="A6022" s="366"/>
    </row>
    <row r="6023" spans="1:1" x14ac:dyDescent="0.2">
      <c r="A6023" s="366"/>
    </row>
    <row r="6024" spans="1:1" x14ac:dyDescent="0.2">
      <c r="A6024" s="366"/>
    </row>
    <row r="6025" spans="1:1" x14ac:dyDescent="0.2">
      <c r="A6025" s="366"/>
    </row>
    <row r="6026" spans="1:1" x14ac:dyDescent="0.2">
      <c r="A6026" s="366"/>
    </row>
    <row r="6027" spans="1:1" x14ac:dyDescent="0.2">
      <c r="A6027" s="366"/>
    </row>
    <row r="6028" spans="1:1" x14ac:dyDescent="0.2">
      <c r="A6028" s="366"/>
    </row>
    <row r="6029" spans="1:1" x14ac:dyDescent="0.2">
      <c r="A6029" s="366"/>
    </row>
    <row r="6030" spans="1:1" x14ac:dyDescent="0.2">
      <c r="A6030" s="366"/>
    </row>
    <row r="6031" spans="1:1" x14ac:dyDescent="0.2">
      <c r="A6031" s="366"/>
    </row>
    <row r="6032" spans="1:1" x14ac:dyDescent="0.2">
      <c r="A6032" s="366"/>
    </row>
    <row r="6033" spans="1:1" x14ac:dyDescent="0.2">
      <c r="A6033" s="366"/>
    </row>
    <row r="6034" spans="1:1" x14ac:dyDescent="0.2">
      <c r="A6034" s="366"/>
    </row>
    <row r="6035" spans="1:1" x14ac:dyDescent="0.2">
      <c r="A6035" s="366"/>
    </row>
    <row r="6036" spans="1:1" x14ac:dyDescent="0.2">
      <c r="A6036" s="366"/>
    </row>
    <row r="6037" spans="1:1" x14ac:dyDescent="0.2">
      <c r="A6037" s="366"/>
    </row>
    <row r="6038" spans="1:1" x14ac:dyDescent="0.2">
      <c r="A6038" s="366"/>
    </row>
    <row r="6039" spans="1:1" x14ac:dyDescent="0.2">
      <c r="A6039" s="366"/>
    </row>
    <row r="6040" spans="1:1" x14ac:dyDescent="0.2">
      <c r="A6040" s="366"/>
    </row>
    <row r="6041" spans="1:1" x14ac:dyDescent="0.2">
      <c r="A6041" s="366"/>
    </row>
    <row r="6042" spans="1:1" x14ac:dyDescent="0.2">
      <c r="A6042" s="366"/>
    </row>
    <row r="6043" spans="1:1" x14ac:dyDescent="0.2">
      <c r="A6043" s="366"/>
    </row>
    <row r="6044" spans="1:1" x14ac:dyDescent="0.2">
      <c r="A6044" s="366"/>
    </row>
    <row r="6045" spans="1:1" x14ac:dyDescent="0.2">
      <c r="A6045" s="366"/>
    </row>
    <row r="6046" spans="1:1" x14ac:dyDescent="0.2">
      <c r="A6046" s="366"/>
    </row>
    <row r="6047" spans="1:1" x14ac:dyDescent="0.2">
      <c r="A6047" s="366"/>
    </row>
    <row r="6048" spans="1:1" x14ac:dyDescent="0.2">
      <c r="A6048" s="366"/>
    </row>
    <row r="6049" spans="1:1" x14ac:dyDescent="0.2">
      <c r="A6049" s="366"/>
    </row>
    <row r="6050" spans="1:1" x14ac:dyDescent="0.2">
      <c r="A6050" s="366"/>
    </row>
    <row r="6051" spans="1:1" x14ac:dyDescent="0.2">
      <c r="A6051" s="366"/>
    </row>
    <row r="6052" spans="1:1" x14ac:dyDescent="0.2">
      <c r="A6052" s="366"/>
    </row>
    <row r="6053" spans="1:1" x14ac:dyDescent="0.2">
      <c r="A6053" s="366"/>
    </row>
    <row r="6054" spans="1:1" x14ac:dyDescent="0.2">
      <c r="A6054" s="366"/>
    </row>
    <row r="6055" spans="1:1" x14ac:dyDescent="0.2">
      <c r="A6055" s="366"/>
    </row>
    <row r="6056" spans="1:1" x14ac:dyDescent="0.2">
      <c r="A6056" s="366"/>
    </row>
    <row r="6057" spans="1:1" x14ac:dyDescent="0.2">
      <c r="A6057" s="366"/>
    </row>
    <row r="6058" spans="1:1" x14ac:dyDescent="0.2">
      <c r="A6058" s="366"/>
    </row>
    <row r="6059" spans="1:1" x14ac:dyDescent="0.2">
      <c r="A6059" s="366"/>
    </row>
    <row r="6060" spans="1:1" x14ac:dyDescent="0.2">
      <c r="A6060" s="366"/>
    </row>
    <row r="6061" spans="1:1" x14ac:dyDescent="0.2">
      <c r="A6061" s="366"/>
    </row>
    <row r="6062" spans="1:1" x14ac:dyDescent="0.2">
      <c r="A6062" s="366"/>
    </row>
    <row r="6063" spans="1:1" x14ac:dyDescent="0.2">
      <c r="A6063" s="366"/>
    </row>
    <row r="6064" spans="1:1" x14ac:dyDescent="0.2">
      <c r="A6064" s="366"/>
    </row>
    <row r="6065" spans="1:1" x14ac:dyDescent="0.2">
      <c r="A6065" s="366"/>
    </row>
    <row r="6066" spans="1:1" x14ac:dyDescent="0.2">
      <c r="A6066" s="366"/>
    </row>
    <row r="6067" spans="1:1" x14ac:dyDescent="0.2">
      <c r="A6067" s="366"/>
    </row>
    <row r="6068" spans="1:1" x14ac:dyDescent="0.2">
      <c r="A6068" s="366"/>
    </row>
    <row r="6069" spans="1:1" x14ac:dyDescent="0.2">
      <c r="A6069" s="366"/>
    </row>
    <row r="6070" spans="1:1" x14ac:dyDescent="0.2">
      <c r="A6070" s="366"/>
    </row>
    <row r="6071" spans="1:1" x14ac:dyDescent="0.2">
      <c r="A6071" s="366"/>
    </row>
    <row r="6072" spans="1:1" x14ac:dyDescent="0.2">
      <c r="A6072" s="366"/>
    </row>
    <row r="6073" spans="1:1" x14ac:dyDescent="0.2">
      <c r="A6073" s="366"/>
    </row>
    <row r="6074" spans="1:1" x14ac:dyDescent="0.2">
      <c r="A6074" s="366"/>
    </row>
    <row r="6075" spans="1:1" x14ac:dyDescent="0.2">
      <c r="A6075" s="366"/>
    </row>
    <row r="6076" spans="1:1" x14ac:dyDescent="0.2">
      <c r="A6076" s="366"/>
    </row>
    <row r="6077" spans="1:1" x14ac:dyDescent="0.2">
      <c r="A6077" s="366"/>
    </row>
    <row r="6078" spans="1:1" x14ac:dyDescent="0.2">
      <c r="A6078" s="366"/>
    </row>
    <row r="6079" spans="1:1" x14ac:dyDescent="0.2">
      <c r="A6079" s="366"/>
    </row>
    <row r="6080" spans="1:1" x14ac:dyDescent="0.2">
      <c r="A6080" s="366"/>
    </row>
    <row r="6081" spans="1:1" x14ac:dyDescent="0.2">
      <c r="A6081" s="366"/>
    </row>
    <row r="6082" spans="1:1" x14ac:dyDescent="0.2">
      <c r="A6082" s="366"/>
    </row>
    <row r="6083" spans="1:1" x14ac:dyDescent="0.2">
      <c r="A6083" s="366"/>
    </row>
    <row r="6084" spans="1:1" x14ac:dyDescent="0.2">
      <c r="A6084" s="366"/>
    </row>
    <row r="6085" spans="1:1" x14ac:dyDescent="0.2">
      <c r="A6085" s="366"/>
    </row>
    <row r="6086" spans="1:1" x14ac:dyDescent="0.2">
      <c r="A6086" s="366"/>
    </row>
    <row r="6087" spans="1:1" x14ac:dyDescent="0.2">
      <c r="A6087" s="366"/>
    </row>
    <row r="6088" spans="1:1" x14ac:dyDescent="0.2">
      <c r="A6088" s="366"/>
    </row>
    <row r="6089" spans="1:1" x14ac:dyDescent="0.2">
      <c r="A6089" s="366"/>
    </row>
    <row r="6090" spans="1:1" x14ac:dyDescent="0.2">
      <c r="A6090" s="366"/>
    </row>
    <row r="6091" spans="1:1" x14ac:dyDescent="0.2">
      <c r="A6091" s="366"/>
    </row>
    <row r="6092" spans="1:1" x14ac:dyDescent="0.2">
      <c r="A6092" s="366"/>
    </row>
    <row r="6093" spans="1:1" x14ac:dyDescent="0.2">
      <c r="A6093" s="366"/>
    </row>
    <row r="6094" spans="1:1" x14ac:dyDescent="0.2">
      <c r="A6094" s="366"/>
    </row>
    <row r="6095" spans="1:1" x14ac:dyDescent="0.2">
      <c r="A6095" s="366"/>
    </row>
    <row r="6096" spans="1:1" x14ac:dyDescent="0.2">
      <c r="A6096" s="366"/>
    </row>
    <row r="6097" spans="1:1" x14ac:dyDescent="0.2">
      <c r="A6097" s="366"/>
    </row>
    <row r="6098" spans="1:1" x14ac:dyDescent="0.2">
      <c r="A6098" s="366"/>
    </row>
    <row r="6099" spans="1:1" x14ac:dyDescent="0.2">
      <c r="A6099" s="366"/>
    </row>
    <row r="6100" spans="1:1" x14ac:dyDescent="0.2">
      <c r="A6100" s="366"/>
    </row>
    <row r="6101" spans="1:1" x14ac:dyDescent="0.2">
      <c r="A6101" s="366"/>
    </row>
    <row r="6102" spans="1:1" x14ac:dyDescent="0.2">
      <c r="A6102" s="366"/>
    </row>
    <row r="6103" spans="1:1" x14ac:dyDescent="0.2">
      <c r="A6103" s="366"/>
    </row>
    <row r="6104" spans="1:1" x14ac:dyDescent="0.2">
      <c r="A6104" s="366"/>
    </row>
    <row r="6105" spans="1:1" x14ac:dyDescent="0.2">
      <c r="A6105" s="366"/>
    </row>
    <row r="6106" spans="1:1" x14ac:dyDescent="0.2">
      <c r="A6106" s="366"/>
    </row>
    <row r="6107" spans="1:1" x14ac:dyDescent="0.2">
      <c r="A6107" s="366"/>
    </row>
    <row r="6108" spans="1:1" x14ac:dyDescent="0.2">
      <c r="A6108" s="366"/>
    </row>
    <row r="6109" spans="1:1" x14ac:dyDescent="0.2">
      <c r="A6109" s="366"/>
    </row>
    <row r="6110" spans="1:1" x14ac:dyDescent="0.2">
      <c r="A6110" s="366"/>
    </row>
    <row r="6111" spans="1:1" x14ac:dyDescent="0.2">
      <c r="A6111" s="366"/>
    </row>
    <row r="6112" spans="1:1" x14ac:dyDescent="0.2">
      <c r="A6112" s="366"/>
    </row>
    <row r="6113" spans="1:1" x14ac:dyDescent="0.2">
      <c r="A6113" s="366"/>
    </row>
    <row r="6114" spans="1:1" x14ac:dyDescent="0.2">
      <c r="A6114" s="366"/>
    </row>
    <row r="6115" spans="1:1" x14ac:dyDescent="0.2">
      <c r="A6115" s="366"/>
    </row>
    <row r="6116" spans="1:1" x14ac:dyDescent="0.2">
      <c r="A6116" s="366"/>
    </row>
    <row r="6117" spans="1:1" x14ac:dyDescent="0.2">
      <c r="A6117" s="366"/>
    </row>
    <row r="6118" spans="1:1" x14ac:dyDescent="0.2">
      <c r="A6118" s="366"/>
    </row>
    <row r="6119" spans="1:1" x14ac:dyDescent="0.2">
      <c r="A6119" s="366"/>
    </row>
    <row r="6120" spans="1:1" x14ac:dyDescent="0.2">
      <c r="A6120" s="366"/>
    </row>
    <row r="6121" spans="1:1" x14ac:dyDescent="0.2">
      <c r="A6121" s="366"/>
    </row>
    <row r="6122" spans="1:1" x14ac:dyDescent="0.2">
      <c r="A6122" s="366"/>
    </row>
    <row r="6123" spans="1:1" x14ac:dyDescent="0.2">
      <c r="A6123" s="366"/>
    </row>
    <row r="6124" spans="1:1" x14ac:dyDescent="0.2">
      <c r="A6124" s="366"/>
    </row>
    <row r="6125" spans="1:1" x14ac:dyDescent="0.2">
      <c r="A6125" s="366"/>
    </row>
    <row r="6126" spans="1:1" x14ac:dyDescent="0.2">
      <c r="A6126" s="366"/>
    </row>
    <row r="6127" spans="1:1" x14ac:dyDescent="0.2">
      <c r="A6127" s="366"/>
    </row>
    <row r="6128" spans="1:1" x14ac:dyDescent="0.2">
      <c r="A6128" s="366"/>
    </row>
    <row r="6129" spans="1:1" x14ac:dyDescent="0.2">
      <c r="A6129" s="366"/>
    </row>
    <row r="6130" spans="1:1" x14ac:dyDescent="0.2">
      <c r="A6130" s="366"/>
    </row>
    <row r="6131" spans="1:1" x14ac:dyDescent="0.2">
      <c r="A6131" s="366"/>
    </row>
    <row r="6132" spans="1:1" x14ac:dyDescent="0.2">
      <c r="A6132" s="366"/>
    </row>
    <row r="6133" spans="1:1" x14ac:dyDescent="0.2">
      <c r="A6133" s="366"/>
    </row>
    <row r="6134" spans="1:1" x14ac:dyDescent="0.2">
      <c r="A6134" s="366"/>
    </row>
    <row r="6135" spans="1:1" x14ac:dyDescent="0.2">
      <c r="A6135" s="366"/>
    </row>
    <row r="6136" spans="1:1" x14ac:dyDescent="0.2">
      <c r="A6136" s="366"/>
    </row>
    <row r="6137" spans="1:1" x14ac:dyDescent="0.2">
      <c r="A6137" s="366"/>
    </row>
    <row r="6138" spans="1:1" x14ac:dyDescent="0.2">
      <c r="A6138" s="366"/>
    </row>
    <row r="6139" spans="1:1" x14ac:dyDescent="0.2">
      <c r="A6139" s="366"/>
    </row>
    <row r="6140" spans="1:1" x14ac:dyDescent="0.2">
      <c r="A6140" s="366"/>
    </row>
    <row r="6141" spans="1:1" x14ac:dyDescent="0.2">
      <c r="A6141" s="366"/>
    </row>
    <row r="6142" spans="1:1" x14ac:dyDescent="0.2">
      <c r="A6142" s="366"/>
    </row>
    <row r="6143" spans="1:1" x14ac:dyDescent="0.2">
      <c r="A6143" s="366"/>
    </row>
    <row r="6144" spans="1:1" x14ac:dyDescent="0.2">
      <c r="A6144" s="366"/>
    </row>
    <row r="6145" spans="1:1" x14ac:dyDescent="0.2">
      <c r="A6145" s="366"/>
    </row>
    <row r="6146" spans="1:1" x14ac:dyDescent="0.2">
      <c r="A6146" s="366"/>
    </row>
    <row r="6147" spans="1:1" x14ac:dyDescent="0.2">
      <c r="A6147" s="366"/>
    </row>
    <row r="6148" spans="1:1" x14ac:dyDescent="0.2">
      <c r="A6148" s="366"/>
    </row>
    <row r="6149" spans="1:1" x14ac:dyDescent="0.2">
      <c r="A6149" s="366"/>
    </row>
    <row r="6150" spans="1:1" x14ac:dyDescent="0.2">
      <c r="A6150" s="366"/>
    </row>
    <row r="6151" spans="1:1" x14ac:dyDescent="0.2">
      <c r="A6151" s="366"/>
    </row>
    <row r="6152" spans="1:1" x14ac:dyDescent="0.2">
      <c r="A6152" s="366"/>
    </row>
    <row r="6153" spans="1:1" x14ac:dyDescent="0.2">
      <c r="A6153" s="366"/>
    </row>
    <row r="6154" spans="1:1" x14ac:dyDescent="0.2">
      <c r="A6154" s="366"/>
    </row>
    <row r="6155" spans="1:1" x14ac:dyDescent="0.2">
      <c r="A6155" s="366"/>
    </row>
    <row r="6156" spans="1:1" x14ac:dyDescent="0.2">
      <c r="A6156" s="366"/>
    </row>
    <row r="6157" spans="1:1" x14ac:dyDescent="0.2">
      <c r="A6157" s="366"/>
    </row>
    <row r="6158" spans="1:1" x14ac:dyDescent="0.2">
      <c r="A6158" s="366"/>
    </row>
    <row r="6159" spans="1:1" x14ac:dyDescent="0.2">
      <c r="A6159" s="366"/>
    </row>
    <row r="6160" spans="1:1" x14ac:dyDescent="0.2">
      <c r="A6160" s="366"/>
    </row>
    <row r="6161" spans="1:1" x14ac:dyDescent="0.2">
      <c r="A6161" s="366"/>
    </row>
    <row r="6162" spans="1:1" x14ac:dyDescent="0.2">
      <c r="A6162" s="366"/>
    </row>
    <row r="6163" spans="1:1" x14ac:dyDescent="0.2">
      <c r="A6163" s="366"/>
    </row>
    <row r="6164" spans="1:1" x14ac:dyDescent="0.2">
      <c r="A6164" s="366"/>
    </row>
    <row r="6165" spans="1:1" x14ac:dyDescent="0.2">
      <c r="A6165" s="366"/>
    </row>
    <row r="6166" spans="1:1" x14ac:dyDescent="0.2">
      <c r="A6166" s="366"/>
    </row>
    <row r="6167" spans="1:1" x14ac:dyDescent="0.2">
      <c r="A6167" s="366"/>
    </row>
    <row r="6168" spans="1:1" x14ac:dyDescent="0.2">
      <c r="A6168" s="366"/>
    </row>
    <row r="6169" spans="1:1" x14ac:dyDescent="0.2">
      <c r="A6169" s="366"/>
    </row>
    <row r="6170" spans="1:1" x14ac:dyDescent="0.2">
      <c r="A6170" s="366"/>
    </row>
    <row r="6171" spans="1:1" x14ac:dyDescent="0.2">
      <c r="A6171" s="366"/>
    </row>
    <row r="6172" spans="1:1" x14ac:dyDescent="0.2">
      <c r="A6172" s="366"/>
    </row>
    <row r="6173" spans="1:1" x14ac:dyDescent="0.2">
      <c r="A6173" s="366"/>
    </row>
    <row r="6174" spans="1:1" x14ac:dyDescent="0.2">
      <c r="A6174" s="366"/>
    </row>
    <row r="6175" spans="1:1" x14ac:dyDescent="0.2">
      <c r="A6175" s="366"/>
    </row>
    <row r="6176" spans="1:1" x14ac:dyDescent="0.2">
      <c r="A6176" s="366"/>
    </row>
    <row r="6177" spans="1:1" x14ac:dyDescent="0.2">
      <c r="A6177" s="366"/>
    </row>
    <row r="6178" spans="1:1" x14ac:dyDescent="0.2">
      <c r="A6178" s="366"/>
    </row>
    <row r="6179" spans="1:1" x14ac:dyDescent="0.2">
      <c r="A6179" s="366"/>
    </row>
    <row r="6180" spans="1:1" x14ac:dyDescent="0.2">
      <c r="A6180" s="366"/>
    </row>
    <row r="6181" spans="1:1" x14ac:dyDescent="0.2">
      <c r="A6181" s="366"/>
    </row>
    <row r="6182" spans="1:1" x14ac:dyDescent="0.2">
      <c r="A6182" s="366"/>
    </row>
    <row r="6183" spans="1:1" x14ac:dyDescent="0.2">
      <c r="A6183" s="366"/>
    </row>
    <row r="6184" spans="1:1" x14ac:dyDescent="0.2">
      <c r="A6184" s="366"/>
    </row>
    <row r="6185" spans="1:1" x14ac:dyDescent="0.2">
      <c r="A6185" s="366"/>
    </row>
    <row r="6186" spans="1:1" x14ac:dyDescent="0.2">
      <c r="A6186" s="366"/>
    </row>
    <row r="6187" spans="1:1" x14ac:dyDescent="0.2">
      <c r="A6187" s="366"/>
    </row>
    <row r="6188" spans="1:1" x14ac:dyDescent="0.2">
      <c r="A6188" s="366"/>
    </row>
    <row r="6189" spans="1:1" x14ac:dyDescent="0.2">
      <c r="A6189" s="366"/>
    </row>
    <row r="6190" spans="1:1" x14ac:dyDescent="0.2">
      <c r="A6190" s="366"/>
    </row>
    <row r="6191" spans="1:1" x14ac:dyDescent="0.2">
      <c r="A6191" s="366"/>
    </row>
    <row r="6192" spans="1:1" x14ac:dyDescent="0.2">
      <c r="A6192" s="366"/>
    </row>
    <row r="6193" spans="1:1" x14ac:dyDescent="0.2">
      <c r="A6193" s="366"/>
    </row>
    <row r="6194" spans="1:1" x14ac:dyDescent="0.2">
      <c r="A6194" s="366"/>
    </row>
    <row r="6195" spans="1:1" x14ac:dyDescent="0.2">
      <c r="A6195" s="366"/>
    </row>
    <row r="6196" spans="1:1" x14ac:dyDescent="0.2">
      <c r="A6196" s="366"/>
    </row>
    <row r="6197" spans="1:1" x14ac:dyDescent="0.2">
      <c r="A6197" s="366"/>
    </row>
    <row r="6198" spans="1:1" x14ac:dyDescent="0.2">
      <c r="A6198" s="366"/>
    </row>
    <row r="6199" spans="1:1" x14ac:dyDescent="0.2">
      <c r="A6199" s="366"/>
    </row>
    <row r="6200" spans="1:1" x14ac:dyDescent="0.2">
      <c r="A6200" s="366"/>
    </row>
    <row r="6201" spans="1:1" x14ac:dyDescent="0.2">
      <c r="A6201" s="366"/>
    </row>
    <row r="6202" spans="1:1" x14ac:dyDescent="0.2">
      <c r="A6202" s="366"/>
    </row>
    <row r="6203" spans="1:1" x14ac:dyDescent="0.2">
      <c r="A6203" s="366"/>
    </row>
    <row r="6204" spans="1:1" x14ac:dyDescent="0.2">
      <c r="A6204" s="366"/>
    </row>
    <row r="6205" spans="1:1" x14ac:dyDescent="0.2">
      <c r="A6205" s="366"/>
    </row>
    <row r="6206" spans="1:1" x14ac:dyDescent="0.2">
      <c r="A6206" s="366"/>
    </row>
    <row r="6207" spans="1:1" x14ac:dyDescent="0.2">
      <c r="A6207" s="366"/>
    </row>
    <row r="6208" spans="1:1" x14ac:dyDescent="0.2">
      <c r="A6208" s="366"/>
    </row>
    <row r="6209" spans="1:1" x14ac:dyDescent="0.2">
      <c r="A6209" s="366"/>
    </row>
    <row r="6210" spans="1:1" x14ac:dyDescent="0.2">
      <c r="A6210" s="366"/>
    </row>
    <row r="6211" spans="1:1" x14ac:dyDescent="0.2">
      <c r="A6211" s="366"/>
    </row>
    <row r="6212" spans="1:1" x14ac:dyDescent="0.2">
      <c r="A6212" s="366"/>
    </row>
    <row r="6213" spans="1:1" x14ac:dyDescent="0.2">
      <c r="A6213" s="366"/>
    </row>
    <row r="6214" spans="1:1" x14ac:dyDescent="0.2">
      <c r="A6214" s="366"/>
    </row>
    <row r="6215" spans="1:1" x14ac:dyDescent="0.2">
      <c r="A6215" s="366"/>
    </row>
    <row r="6216" spans="1:1" x14ac:dyDescent="0.2">
      <c r="A6216" s="366"/>
    </row>
    <row r="6217" spans="1:1" x14ac:dyDescent="0.2">
      <c r="A6217" s="366"/>
    </row>
    <row r="6218" spans="1:1" x14ac:dyDescent="0.2">
      <c r="A6218" s="366"/>
    </row>
    <row r="6219" spans="1:1" x14ac:dyDescent="0.2">
      <c r="A6219" s="366"/>
    </row>
    <row r="6220" spans="1:1" x14ac:dyDescent="0.2">
      <c r="A6220" s="366"/>
    </row>
    <row r="6221" spans="1:1" x14ac:dyDescent="0.2">
      <c r="A6221" s="366"/>
    </row>
    <row r="6222" spans="1:1" x14ac:dyDescent="0.2">
      <c r="A6222" s="366"/>
    </row>
    <row r="6223" spans="1:1" x14ac:dyDescent="0.2">
      <c r="A6223" s="366"/>
    </row>
    <row r="6224" spans="1:1" x14ac:dyDescent="0.2">
      <c r="A6224" s="366"/>
    </row>
    <row r="6225" spans="1:1" x14ac:dyDescent="0.2">
      <c r="A6225" s="366"/>
    </row>
    <row r="6226" spans="1:1" x14ac:dyDescent="0.2">
      <c r="A6226" s="366"/>
    </row>
    <row r="6227" spans="1:1" x14ac:dyDescent="0.2">
      <c r="A6227" s="366"/>
    </row>
    <row r="6228" spans="1:1" x14ac:dyDescent="0.2">
      <c r="A6228" s="366"/>
    </row>
    <row r="6229" spans="1:1" x14ac:dyDescent="0.2">
      <c r="A6229" s="366"/>
    </row>
    <row r="6230" spans="1:1" x14ac:dyDescent="0.2">
      <c r="A6230" s="366"/>
    </row>
    <row r="6231" spans="1:1" x14ac:dyDescent="0.2">
      <c r="A6231" s="366"/>
    </row>
    <row r="6232" spans="1:1" x14ac:dyDescent="0.2">
      <c r="A6232" s="366"/>
    </row>
    <row r="6233" spans="1:1" x14ac:dyDescent="0.2">
      <c r="A6233" s="366"/>
    </row>
    <row r="6234" spans="1:1" x14ac:dyDescent="0.2">
      <c r="A6234" s="366"/>
    </row>
    <row r="6235" spans="1:1" x14ac:dyDescent="0.2">
      <c r="A6235" s="366"/>
    </row>
    <row r="6236" spans="1:1" x14ac:dyDescent="0.2">
      <c r="A6236" s="366"/>
    </row>
    <row r="6237" spans="1:1" x14ac:dyDescent="0.2">
      <c r="A6237" s="366"/>
    </row>
    <row r="6238" spans="1:1" x14ac:dyDescent="0.2">
      <c r="A6238" s="366"/>
    </row>
    <row r="6239" spans="1:1" x14ac:dyDescent="0.2">
      <c r="A6239" s="366"/>
    </row>
    <row r="6240" spans="1:1" x14ac:dyDescent="0.2">
      <c r="A6240" s="366"/>
    </row>
    <row r="6241" spans="1:1" x14ac:dyDescent="0.2">
      <c r="A6241" s="366"/>
    </row>
    <row r="6242" spans="1:1" x14ac:dyDescent="0.2">
      <c r="A6242" s="366"/>
    </row>
    <row r="6243" spans="1:1" x14ac:dyDescent="0.2">
      <c r="A6243" s="366"/>
    </row>
    <row r="6244" spans="1:1" x14ac:dyDescent="0.2">
      <c r="A6244" s="366"/>
    </row>
    <row r="6245" spans="1:1" x14ac:dyDescent="0.2">
      <c r="A6245" s="366"/>
    </row>
    <row r="6246" spans="1:1" x14ac:dyDescent="0.2">
      <c r="A6246" s="366"/>
    </row>
    <row r="6247" spans="1:1" x14ac:dyDescent="0.2">
      <c r="A6247" s="366"/>
    </row>
    <row r="6248" spans="1:1" x14ac:dyDescent="0.2">
      <c r="A6248" s="366"/>
    </row>
    <row r="6249" spans="1:1" x14ac:dyDescent="0.2">
      <c r="A6249" s="366"/>
    </row>
    <row r="6250" spans="1:1" x14ac:dyDescent="0.2">
      <c r="A6250" s="366"/>
    </row>
    <row r="6251" spans="1:1" x14ac:dyDescent="0.2">
      <c r="A6251" s="366"/>
    </row>
    <row r="6252" spans="1:1" x14ac:dyDescent="0.2">
      <c r="A6252" s="366"/>
    </row>
    <row r="6253" spans="1:1" x14ac:dyDescent="0.2">
      <c r="A6253" s="366"/>
    </row>
    <row r="6254" spans="1:1" x14ac:dyDescent="0.2">
      <c r="A6254" s="366"/>
    </row>
    <row r="6255" spans="1:1" x14ac:dyDescent="0.2">
      <c r="A6255" s="366"/>
    </row>
    <row r="6256" spans="1:1" x14ac:dyDescent="0.2">
      <c r="A6256" s="366"/>
    </row>
    <row r="6257" spans="1:1" x14ac:dyDescent="0.2">
      <c r="A6257" s="366"/>
    </row>
    <row r="6258" spans="1:1" x14ac:dyDescent="0.2">
      <c r="A6258" s="366"/>
    </row>
    <row r="6259" spans="1:1" x14ac:dyDescent="0.2">
      <c r="A6259" s="366"/>
    </row>
    <row r="6260" spans="1:1" x14ac:dyDescent="0.2">
      <c r="A6260" s="366"/>
    </row>
    <row r="6261" spans="1:1" x14ac:dyDescent="0.2">
      <c r="A6261" s="366"/>
    </row>
    <row r="6262" spans="1:1" x14ac:dyDescent="0.2">
      <c r="A6262" s="366"/>
    </row>
    <row r="6263" spans="1:1" x14ac:dyDescent="0.2">
      <c r="A6263" s="366"/>
    </row>
    <row r="6264" spans="1:1" x14ac:dyDescent="0.2">
      <c r="A6264" s="366"/>
    </row>
    <row r="6265" spans="1:1" x14ac:dyDescent="0.2">
      <c r="A6265" s="366"/>
    </row>
    <row r="6266" spans="1:1" x14ac:dyDescent="0.2">
      <c r="A6266" s="366"/>
    </row>
    <row r="6267" spans="1:1" x14ac:dyDescent="0.2">
      <c r="A6267" s="366"/>
    </row>
    <row r="6268" spans="1:1" x14ac:dyDescent="0.2">
      <c r="A6268" s="366"/>
    </row>
    <row r="6269" spans="1:1" x14ac:dyDescent="0.2">
      <c r="A6269" s="366"/>
    </row>
    <row r="6270" spans="1:1" x14ac:dyDescent="0.2">
      <c r="A6270" s="366"/>
    </row>
    <row r="6271" spans="1:1" x14ac:dyDescent="0.2">
      <c r="A6271" s="366"/>
    </row>
    <row r="6272" spans="1:1" x14ac:dyDescent="0.2">
      <c r="A6272" s="366"/>
    </row>
    <row r="6273" spans="1:1" x14ac:dyDescent="0.2">
      <c r="A6273" s="366"/>
    </row>
    <row r="6274" spans="1:1" x14ac:dyDescent="0.2">
      <c r="A6274" s="366"/>
    </row>
    <row r="6275" spans="1:1" x14ac:dyDescent="0.2">
      <c r="A6275" s="366"/>
    </row>
    <row r="6276" spans="1:1" x14ac:dyDescent="0.2">
      <c r="A6276" s="366"/>
    </row>
    <row r="6277" spans="1:1" x14ac:dyDescent="0.2">
      <c r="A6277" s="366"/>
    </row>
    <row r="6278" spans="1:1" x14ac:dyDescent="0.2">
      <c r="A6278" s="366"/>
    </row>
    <row r="6279" spans="1:1" x14ac:dyDescent="0.2">
      <c r="A6279" s="366"/>
    </row>
    <row r="6280" spans="1:1" x14ac:dyDescent="0.2">
      <c r="A6280" s="366"/>
    </row>
    <row r="6281" spans="1:1" x14ac:dyDescent="0.2">
      <c r="A6281" s="366"/>
    </row>
    <row r="6282" spans="1:1" x14ac:dyDescent="0.2">
      <c r="A6282" s="366"/>
    </row>
    <row r="6283" spans="1:1" x14ac:dyDescent="0.2">
      <c r="A6283" s="366"/>
    </row>
    <row r="6284" spans="1:1" x14ac:dyDescent="0.2">
      <c r="A6284" s="366"/>
    </row>
    <row r="6285" spans="1:1" x14ac:dyDescent="0.2">
      <c r="A6285" s="366"/>
    </row>
    <row r="6286" spans="1:1" x14ac:dyDescent="0.2">
      <c r="A6286" s="366"/>
    </row>
    <row r="6287" spans="1:1" x14ac:dyDescent="0.2">
      <c r="A6287" s="366"/>
    </row>
    <row r="6288" spans="1:1" x14ac:dyDescent="0.2">
      <c r="A6288" s="366"/>
    </row>
    <row r="6289" spans="1:1" x14ac:dyDescent="0.2">
      <c r="A6289" s="366"/>
    </row>
    <row r="6290" spans="1:1" x14ac:dyDescent="0.2">
      <c r="A6290" s="366"/>
    </row>
    <row r="6291" spans="1:1" x14ac:dyDescent="0.2">
      <c r="A6291" s="366"/>
    </row>
    <row r="6292" spans="1:1" x14ac:dyDescent="0.2">
      <c r="A6292" s="366"/>
    </row>
    <row r="6293" spans="1:1" x14ac:dyDescent="0.2">
      <c r="A6293" s="366"/>
    </row>
    <row r="6294" spans="1:1" x14ac:dyDescent="0.2">
      <c r="A6294" s="366"/>
    </row>
    <row r="6295" spans="1:1" x14ac:dyDescent="0.2">
      <c r="A6295" s="366"/>
    </row>
    <row r="6296" spans="1:1" x14ac:dyDescent="0.2">
      <c r="A6296" s="366"/>
    </row>
    <row r="6297" spans="1:1" x14ac:dyDescent="0.2">
      <c r="A6297" s="366"/>
    </row>
    <row r="6298" spans="1:1" x14ac:dyDescent="0.2">
      <c r="A6298" s="366"/>
    </row>
    <row r="6299" spans="1:1" x14ac:dyDescent="0.2">
      <c r="A6299" s="366"/>
    </row>
    <row r="6300" spans="1:1" x14ac:dyDescent="0.2">
      <c r="A6300" s="366"/>
    </row>
    <row r="6301" spans="1:1" x14ac:dyDescent="0.2">
      <c r="A6301" s="366"/>
    </row>
    <row r="6302" spans="1:1" x14ac:dyDescent="0.2">
      <c r="A6302" s="366"/>
    </row>
    <row r="6303" spans="1:1" x14ac:dyDescent="0.2">
      <c r="A6303" s="366"/>
    </row>
    <row r="6304" spans="1:1" x14ac:dyDescent="0.2">
      <c r="A6304" s="366"/>
    </row>
    <row r="6305" spans="1:1" x14ac:dyDescent="0.2">
      <c r="A6305" s="366"/>
    </row>
    <row r="6306" spans="1:1" x14ac:dyDescent="0.2">
      <c r="A6306" s="366"/>
    </row>
    <row r="6307" spans="1:1" x14ac:dyDescent="0.2">
      <c r="A6307" s="366"/>
    </row>
    <row r="6308" spans="1:1" x14ac:dyDescent="0.2">
      <c r="A6308" s="366"/>
    </row>
    <row r="6309" spans="1:1" x14ac:dyDescent="0.2">
      <c r="A6309" s="366"/>
    </row>
    <row r="6310" spans="1:1" x14ac:dyDescent="0.2">
      <c r="A6310" s="366"/>
    </row>
    <row r="6311" spans="1:1" x14ac:dyDescent="0.2">
      <c r="A6311" s="366"/>
    </row>
    <row r="6312" spans="1:1" x14ac:dyDescent="0.2">
      <c r="A6312" s="366"/>
    </row>
    <row r="6313" spans="1:1" x14ac:dyDescent="0.2">
      <c r="A6313" s="366"/>
    </row>
    <row r="6314" spans="1:1" x14ac:dyDescent="0.2">
      <c r="A6314" s="366"/>
    </row>
    <row r="6315" spans="1:1" x14ac:dyDescent="0.2">
      <c r="A6315" s="366"/>
    </row>
    <row r="6316" spans="1:1" x14ac:dyDescent="0.2">
      <c r="A6316" s="366"/>
    </row>
    <row r="6317" spans="1:1" x14ac:dyDescent="0.2">
      <c r="A6317" s="366"/>
    </row>
    <row r="6318" spans="1:1" x14ac:dyDescent="0.2">
      <c r="A6318" s="366"/>
    </row>
    <row r="6319" spans="1:1" x14ac:dyDescent="0.2">
      <c r="A6319" s="366"/>
    </row>
    <row r="6320" spans="1:1" x14ac:dyDescent="0.2">
      <c r="A6320" s="366"/>
    </row>
    <row r="6321" spans="1:1" x14ac:dyDescent="0.2">
      <c r="A6321" s="366"/>
    </row>
    <row r="6322" spans="1:1" x14ac:dyDescent="0.2">
      <c r="A6322" s="366"/>
    </row>
    <row r="6323" spans="1:1" x14ac:dyDescent="0.2">
      <c r="A6323" s="366"/>
    </row>
    <row r="6324" spans="1:1" x14ac:dyDescent="0.2">
      <c r="A6324" s="366"/>
    </row>
    <row r="6325" spans="1:1" x14ac:dyDescent="0.2">
      <c r="A6325" s="366"/>
    </row>
    <row r="6326" spans="1:1" x14ac:dyDescent="0.2">
      <c r="A6326" s="366"/>
    </row>
    <row r="6327" spans="1:1" x14ac:dyDescent="0.2">
      <c r="A6327" s="366"/>
    </row>
    <row r="6328" spans="1:1" x14ac:dyDescent="0.2">
      <c r="A6328" s="366"/>
    </row>
    <row r="6329" spans="1:1" x14ac:dyDescent="0.2">
      <c r="A6329" s="366"/>
    </row>
    <row r="6330" spans="1:1" x14ac:dyDescent="0.2">
      <c r="A6330" s="366"/>
    </row>
    <row r="6331" spans="1:1" x14ac:dyDescent="0.2">
      <c r="A6331" s="366"/>
    </row>
    <row r="6332" spans="1:1" x14ac:dyDescent="0.2">
      <c r="A6332" s="366"/>
    </row>
    <row r="6333" spans="1:1" x14ac:dyDescent="0.2">
      <c r="A6333" s="366"/>
    </row>
    <row r="6334" spans="1:1" x14ac:dyDescent="0.2">
      <c r="A6334" s="366"/>
    </row>
    <row r="6335" spans="1:1" x14ac:dyDescent="0.2">
      <c r="A6335" s="366"/>
    </row>
    <row r="6336" spans="1:1" x14ac:dyDescent="0.2">
      <c r="A6336" s="366"/>
    </row>
    <row r="6337" spans="1:1" x14ac:dyDescent="0.2">
      <c r="A6337" s="366"/>
    </row>
    <row r="6338" spans="1:1" x14ac:dyDescent="0.2">
      <c r="A6338" s="366"/>
    </row>
    <row r="6339" spans="1:1" x14ac:dyDescent="0.2">
      <c r="A6339" s="366"/>
    </row>
    <row r="6340" spans="1:1" x14ac:dyDescent="0.2">
      <c r="A6340" s="366"/>
    </row>
    <row r="6341" spans="1:1" x14ac:dyDescent="0.2">
      <c r="A6341" s="366"/>
    </row>
    <row r="6342" spans="1:1" x14ac:dyDescent="0.2">
      <c r="A6342" s="366"/>
    </row>
    <row r="6343" spans="1:1" x14ac:dyDescent="0.2">
      <c r="A6343" s="366"/>
    </row>
    <row r="6344" spans="1:1" x14ac:dyDescent="0.2">
      <c r="A6344" s="366"/>
    </row>
    <row r="6345" spans="1:1" x14ac:dyDescent="0.2">
      <c r="A6345" s="366"/>
    </row>
    <row r="6346" spans="1:1" x14ac:dyDescent="0.2">
      <c r="A6346" s="366"/>
    </row>
    <row r="6347" spans="1:1" x14ac:dyDescent="0.2">
      <c r="A6347" s="366"/>
    </row>
    <row r="6348" spans="1:1" x14ac:dyDescent="0.2">
      <c r="A6348" s="366"/>
    </row>
    <row r="6349" spans="1:1" x14ac:dyDescent="0.2">
      <c r="A6349" s="366"/>
    </row>
    <row r="6350" spans="1:1" x14ac:dyDescent="0.2">
      <c r="A6350" s="366"/>
    </row>
    <row r="6351" spans="1:1" x14ac:dyDescent="0.2">
      <c r="A6351" s="366"/>
    </row>
    <row r="6352" spans="1:1" x14ac:dyDescent="0.2">
      <c r="A6352" s="366"/>
    </row>
    <row r="6353" spans="1:1" x14ac:dyDescent="0.2">
      <c r="A6353" s="366"/>
    </row>
    <row r="6354" spans="1:1" x14ac:dyDescent="0.2">
      <c r="A6354" s="366"/>
    </row>
    <row r="6355" spans="1:1" x14ac:dyDescent="0.2">
      <c r="A6355" s="366"/>
    </row>
    <row r="6356" spans="1:1" x14ac:dyDescent="0.2">
      <c r="A6356" s="366"/>
    </row>
    <row r="6357" spans="1:1" x14ac:dyDescent="0.2">
      <c r="A6357" s="366"/>
    </row>
    <row r="6358" spans="1:1" x14ac:dyDescent="0.2">
      <c r="A6358" s="366"/>
    </row>
    <row r="6359" spans="1:1" x14ac:dyDescent="0.2">
      <c r="A6359" s="366"/>
    </row>
    <row r="6360" spans="1:1" x14ac:dyDescent="0.2">
      <c r="A6360" s="366"/>
    </row>
    <row r="6361" spans="1:1" x14ac:dyDescent="0.2">
      <c r="A6361" s="366"/>
    </row>
    <row r="6362" spans="1:1" x14ac:dyDescent="0.2">
      <c r="A6362" s="366"/>
    </row>
    <row r="6363" spans="1:1" x14ac:dyDescent="0.2">
      <c r="A6363" s="366"/>
    </row>
    <row r="6364" spans="1:1" x14ac:dyDescent="0.2">
      <c r="A6364" s="366"/>
    </row>
    <row r="6365" spans="1:1" x14ac:dyDescent="0.2">
      <c r="A6365" s="366"/>
    </row>
    <row r="6366" spans="1:1" x14ac:dyDescent="0.2">
      <c r="A6366" s="366"/>
    </row>
    <row r="6367" spans="1:1" x14ac:dyDescent="0.2">
      <c r="A6367" s="366"/>
    </row>
    <row r="6368" spans="1:1" x14ac:dyDescent="0.2">
      <c r="A6368" s="366"/>
    </row>
    <row r="6369" spans="1:1" x14ac:dyDescent="0.2">
      <c r="A6369" s="366"/>
    </row>
    <row r="6370" spans="1:1" x14ac:dyDescent="0.2">
      <c r="A6370" s="366"/>
    </row>
    <row r="6371" spans="1:1" x14ac:dyDescent="0.2">
      <c r="A6371" s="366"/>
    </row>
    <row r="6372" spans="1:1" x14ac:dyDescent="0.2">
      <c r="A6372" s="366"/>
    </row>
    <row r="6373" spans="1:1" x14ac:dyDescent="0.2">
      <c r="A6373" s="366"/>
    </row>
    <row r="6374" spans="1:1" x14ac:dyDescent="0.2">
      <c r="A6374" s="366"/>
    </row>
    <row r="6375" spans="1:1" x14ac:dyDescent="0.2">
      <c r="A6375" s="366"/>
    </row>
    <row r="6376" spans="1:1" x14ac:dyDescent="0.2">
      <c r="A6376" s="366"/>
    </row>
    <row r="6377" spans="1:1" x14ac:dyDescent="0.2">
      <c r="A6377" s="366"/>
    </row>
    <row r="6378" spans="1:1" x14ac:dyDescent="0.2">
      <c r="A6378" s="366"/>
    </row>
    <row r="6379" spans="1:1" x14ac:dyDescent="0.2">
      <c r="A6379" s="366"/>
    </row>
    <row r="6380" spans="1:1" x14ac:dyDescent="0.2">
      <c r="A6380" s="366"/>
    </row>
    <row r="6381" spans="1:1" x14ac:dyDescent="0.2">
      <c r="A6381" s="366"/>
    </row>
    <row r="6382" spans="1:1" x14ac:dyDescent="0.2">
      <c r="A6382" s="366"/>
    </row>
    <row r="6383" spans="1:1" x14ac:dyDescent="0.2">
      <c r="A6383" s="366"/>
    </row>
    <row r="6384" spans="1:1" x14ac:dyDescent="0.2">
      <c r="A6384" s="366"/>
    </row>
    <row r="6385" spans="1:1" x14ac:dyDescent="0.2">
      <c r="A6385" s="366"/>
    </row>
    <row r="6386" spans="1:1" x14ac:dyDescent="0.2">
      <c r="A6386" s="366"/>
    </row>
    <row r="6387" spans="1:1" x14ac:dyDescent="0.2">
      <c r="A6387" s="366"/>
    </row>
    <row r="6388" spans="1:1" x14ac:dyDescent="0.2">
      <c r="A6388" s="366"/>
    </row>
    <row r="6389" spans="1:1" x14ac:dyDescent="0.2">
      <c r="A6389" s="366"/>
    </row>
    <row r="6390" spans="1:1" x14ac:dyDescent="0.2">
      <c r="A6390" s="366"/>
    </row>
    <row r="6391" spans="1:1" x14ac:dyDescent="0.2">
      <c r="A6391" s="366"/>
    </row>
    <row r="6392" spans="1:1" x14ac:dyDescent="0.2">
      <c r="A6392" s="366"/>
    </row>
    <row r="6393" spans="1:1" x14ac:dyDescent="0.2">
      <c r="A6393" s="366"/>
    </row>
    <row r="6394" spans="1:1" x14ac:dyDescent="0.2">
      <c r="A6394" s="366"/>
    </row>
    <row r="6395" spans="1:1" x14ac:dyDescent="0.2">
      <c r="A6395" s="366"/>
    </row>
    <row r="6396" spans="1:1" x14ac:dyDescent="0.2">
      <c r="A6396" s="366"/>
    </row>
    <row r="6397" spans="1:1" x14ac:dyDescent="0.2">
      <c r="A6397" s="366"/>
    </row>
    <row r="6398" spans="1:1" x14ac:dyDescent="0.2">
      <c r="A6398" s="366"/>
    </row>
    <row r="6399" spans="1:1" x14ac:dyDescent="0.2">
      <c r="A6399" s="366"/>
    </row>
    <row r="6400" spans="1:1" x14ac:dyDescent="0.2">
      <c r="A6400" s="366"/>
    </row>
    <row r="6401" spans="1:1" x14ac:dyDescent="0.2">
      <c r="A6401" s="366"/>
    </row>
    <row r="6402" spans="1:1" x14ac:dyDescent="0.2">
      <c r="A6402" s="366"/>
    </row>
    <row r="6403" spans="1:1" x14ac:dyDescent="0.2">
      <c r="A6403" s="366"/>
    </row>
    <row r="6404" spans="1:1" x14ac:dyDescent="0.2">
      <c r="A6404" s="366"/>
    </row>
    <row r="6405" spans="1:1" x14ac:dyDescent="0.2">
      <c r="A6405" s="366"/>
    </row>
    <row r="6406" spans="1:1" x14ac:dyDescent="0.2">
      <c r="A6406" s="366"/>
    </row>
    <row r="6407" spans="1:1" x14ac:dyDescent="0.2">
      <c r="A6407" s="366"/>
    </row>
    <row r="6408" spans="1:1" x14ac:dyDescent="0.2">
      <c r="A6408" s="366"/>
    </row>
    <row r="6409" spans="1:1" x14ac:dyDescent="0.2">
      <c r="A6409" s="366"/>
    </row>
    <row r="6410" spans="1:1" x14ac:dyDescent="0.2">
      <c r="A6410" s="366"/>
    </row>
    <row r="6411" spans="1:1" x14ac:dyDescent="0.2">
      <c r="A6411" s="366"/>
    </row>
    <row r="6412" spans="1:1" x14ac:dyDescent="0.2">
      <c r="A6412" s="366"/>
    </row>
    <row r="6413" spans="1:1" x14ac:dyDescent="0.2">
      <c r="A6413" s="366"/>
    </row>
    <row r="6414" spans="1:1" x14ac:dyDescent="0.2">
      <c r="A6414" s="366"/>
    </row>
    <row r="6415" spans="1:1" x14ac:dyDescent="0.2">
      <c r="A6415" s="366"/>
    </row>
    <row r="6416" spans="1:1" x14ac:dyDescent="0.2">
      <c r="A6416" s="366"/>
    </row>
    <row r="6417" spans="1:1" x14ac:dyDescent="0.2">
      <c r="A6417" s="366"/>
    </row>
    <row r="6418" spans="1:1" x14ac:dyDescent="0.2">
      <c r="A6418" s="366"/>
    </row>
    <row r="6419" spans="1:1" x14ac:dyDescent="0.2">
      <c r="A6419" s="366"/>
    </row>
    <row r="6420" spans="1:1" x14ac:dyDescent="0.2">
      <c r="A6420" s="366"/>
    </row>
    <row r="6421" spans="1:1" x14ac:dyDescent="0.2">
      <c r="A6421" s="366"/>
    </row>
    <row r="6422" spans="1:1" x14ac:dyDescent="0.2">
      <c r="A6422" s="366"/>
    </row>
    <row r="6423" spans="1:1" x14ac:dyDescent="0.2">
      <c r="A6423" s="366"/>
    </row>
    <row r="6424" spans="1:1" x14ac:dyDescent="0.2">
      <c r="A6424" s="366"/>
    </row>
    <row r="6425" spans="1:1" x14ac:dyDescent="0.2">
      <c r="A6425" s="366"/>
    </row>
    <row r="6426" spans="1:1" x14ac:dyDescent="0.2">
      <c r="A6426" s="366"/>
    </row>
    <row r="6427" spans="1:1" x14ac:dyDescent="0.2">
      <c r="A6427" s="366"/>
    </row>
    <row r="6428" spans="1:1" x14ac:dyDescent="0.2">
      <c r="A6428" s="366"/>
    </row>
    <row r="6429" spans="1:1" x14ac:dyDescent="0.2">
      <c r="A6429" s="366"/>
    </row>
    <row r="6430" spans="1:1" x14ac:dyDescent="0.2">
      <c r="A6430" s="366"/>
    </row>
    <row r="6431" spans="1:1" x14ac:dyDescent="0.2">
      <c r="A6431" s="366"/>
    </row>
    <row r="6432" spans="1:1" x14ac:dyDescent="0.2">
      <c r="A6432" s="366"/>
    </row>
    <row r="6433" spans="1:1" x14ac:dyDescent="0.2">
      <c r="A6433" s="366"/>
    </row>
    <row r="6434" spans="1:1" x14ac:dyDescent="0.2">
      <c r="A6434" s="366"/>
    </row>
    <row r="6435" spans="1:1" x14ac:dyDescent="0.2">
      <c r="A6435" s="366"/>
    </row>
    <row r="6436" spans="1:1" x14ac:dyDescent="0.2">
      <c r="A6436" s="366"/>
    </row>
    <row r="6437" spans="1:1" x14ac:dyDescent="0.2">
      <c r="A6437" s="366"/>
    </row>
    <row r="6438" spans="1:1" x14ac:dyDescent="0.2">
      <c r="A6438" s="366"/>
    </row>
    <row r="6439" spans="1:1" x14ac:dyDescent="0.2">
      <c r="A6439" s="366"/>
    </row>
    <row r="6440" spans="1:1" x14ac:dyDescent="0.2">
      <c r="A6440" s="366"/>
    </row>
    <row r="6441" spans="1:1" x14ac:dyDescent="0.2">
      <c r="A6441" s="366"/>
    </row>
    <row r="6442" spans="1:1" x14ac:dyDescent="0.2">
      <c r="A6442" s="366"/>
    </row>
    <row r="6443" spans="1:1" x14ac:dyDescent="0.2">
      <c r="A6443" s="366"/>
    </row>
    <row r="6444" spans="1:1" x14ac:dyDescent="0.2">
      <c r="A6444" s="366"/>
    </row>
    <row r="6445" spans="1:1" x14ac:dyDescent="0.2">
      <c r="A6445" s="366"/>
    </row>
    <row r="6446" spans="1:1" x14ac:dyDescent="0.2">
      <c r="A6446" s="366"/>
    </row>
    <row r="6447" spans="1:1" x14ac:dyDescent="0.2">
      <c r="A6447" s="366"/>
    </row>
    <row r="6448" spans="1:1" x14ac:dyDescent="0.2">
      <c r="A6448" s="366"/>
    </row>
    <row r="6449" spans="1:1" x14ac:dyDescent="0.2">
      <c r="A6449" s="366"/>
    </row>
    <row r="6450" spans="1:1" x14ac:dyDescent="0.2">
      <c r="A6450" s="366"/>
    </row>
    <row r="6451" spans="1:1" x14ac:dyDescent="0.2">
      <c r="A6451" s="366"/>
    </row>
    <row r="6452" spans="1:1" x14ac:dyDescent="0.2">
      <c r="A6452" s="366"/>
    </row>
    <row r="6453" spans="1:1" x14ac:dyDescent="0.2">
      <c r="A6453" s="366"/>
    </row>
    <row r="6454" spans="1:1" x14ac:dyDescent="0.2">
      <c r="A6454" s="366"/>
    </row>
    <row r="6455" spans="1:1" x14ac:dyDescent="0.2">
      <c r="A6455" s="366"/>
    </row>
    <row r="6456" spans="1:1" x14ac:dyDescent="0.2">
      <c r="A6456" s="366"/>
    </row>
    <row r="6457" spans="1:1" x14ac:dyDescent="0.2">
      <c r="A6457" s="366"/>
    </row>
    <row r="6458" spans="1:1" x14ac:dyDescent="0.2">
      <c r="A6458" s="366"/>
    </row>
    <row r="6459" spans="1:1" x14ac:dyDescent="0.2">
      <c r="A6459" s="366"/>
    </row>
    <row r="6460" spans="1:1" x14ac:dyDescent="0.2">
      <c r="A6460" s="366"/>
    </row>
    <row r="6461" spans="1:1" x14ac:dyDescent="0.2">
      <c r="A6461" s="366"/>
    </row>
    <row r="6462" spans="1:1" x14ac:dyDescent="0.2">
      <c r="A6462" s="366"/>
    </row>
    <row r="6463" spans="1:1" x14ac:dyDescent="0.2">
      <c r="A6463" s="366"/>
    </row>
    <row r="6464" spans="1:1" x14ac:dyDescent="0.2">
      <c r="A6464" s="366"/>
    </row>
    <row r="6465" spans="1:1" x14ac:dyDescent="0.2">
      <c r="A6465" s="366"/>
    </row>
    <row r="6466" spans="1:1" x14ac:dyDescent="0.2">
      <c r="A6466" s="366"/>
    </row>
    <row r="6467" spans="1:1" x14ac:dyDescent="0.2">
      <c r="A6467" s="366"/>
    </row>
    <row r="6468" spans="1:1" x14ac:dyDescent="0.2">
      <c r="A6468" s="366"/>
    </row>
    <row r="6469" spans="1:1" x14ac:dyDescent="0.2">
      <c r="A6469" s="366"/>
    </row>
    <row r="6470" spans="1:1" x14ac:dyDescent="0.2">
      <c r="A6470" s="366"/>
    </row>
    <row r="6471" spans="1:1" x14ac:dyDescent="0.2">
      <c r="A6471" s="366"/>
    </row>
    <row r="6472" spans="1:1" x14ac:dyDescent="0.2">
      <c r="A6472" s="366"/>
    </row>
    <row r="6473" spans="1:1" x14ac:dyDescent="0.2">
      <c r="A6473" s="366"/>
    </row>
    <row r="6474" spans="1:1" x14ac:dyDescent="0.2">
      <c r="A6474" s="366"/>
    </row>
    <row r="6475" spans="1:1" x14ac:dyDescent="0.2">
      <c r="A6475" s="366"/>
    </row>
    <row r="6476" spans="1:1" x14ac:dyDescent="0.2">
      <c r="A6476" s="366"/>
    </row>
    <row r="6477" spans="1:1" x14ac:dyDescent="0.2">
      <c r="A6477" s="366"/>
    </row>
    <row r="6478" spans="1:1" x14ac:dyDescent="0.2">
      <c r="A6478" s="366"/>
    </row>
    <row r="6479" spans="1:1" x14ac:dyDescent="0.2">
      <c r="A6479" s="366"/>
    </row>
    <row r="6480" spans="1:1" x14ac:dyDescent="0.2">
      <c r="A6480" s="366"/>
    </row>
    <row r="6481" spans="1:1" x14ac:dyDescent="0.2">
      <c r="A6481" s="366"/>
    </row>
    <row r="6482" spans="1:1" x14ac:dyDescent="0.2">
      <c r="A6482" s="366"/>
    </row>
    <row r="6483" spans="1:1" x14ac:dyDescent="0.2">
      <c r="A6483" s="366"/>
    </row>
    <row r="6484" spans="1:1" x14ac:dyDescent="0.2">
      <c r="A6484" s="366"/>
    </row>
    <row r="6485" spans="1:1" x14ac:dyDescent="0.2">
      <c r="A6485" s="366"/>
    </row>
    <row r="6486" spans="1:1" x14ac:dyDescent="0.2">
      <c r="A6486" s="366"/>
    </row>
    <row r="6487" spans="1:1" x14ac:dyDescent="0.2">
      <c r="A6487" s="366"/>
    </row>
    <row r="6488" spans="1:1" x14ac:dyDescent="0.2">
      <c r="A6488" s="366"/>
    </row>
    <row r="6489" spans="1:1" x14ac:dyDescent="0.2">
      <c r="A6489" s="366"/>
    </row>
    <row r="6490" spans="1:1" x14ac:dyDescent="0.2">
      <c r="A6490" s="366"/>
    </row>
    <row r="6491" spans="1:1" x14ac:dyDescent="0.2">
      <c r="A6491" s="366"/>
    </row>
    <row r="6492" spans="1:1" x14ac:dyDescent="0.2">
      <c r="A6492" s="366"/>
    </row>
    <row r="6493" spans="1:1" x14ac:dyDescent="0.2">
      <c r="A6493" s="366"/>
    </row>
    <row r="6494" spans="1:1" x14ac:dyDescent="0.2">
      <c r="A6494" s="366"/>
    </row>
    <row r="6495" spans="1:1" x14ac:dyDescent="0.2">
      <c r="A6495" s="366"/>
    </row>
    <row r="6496" spans="1:1" x14ac:dyDescent="0.2">
      <c r="A6496" s="366"/>
    </row>
    <row r="6497" spans="1:1" x14ac:dyDescent="0.2">
      <c r="A6497" s="366"/>
    </row>
    <row r="6498" spans="1:1" x14ac:dyDescent="0.2">
      <c r="A6498" s="366"/>
    </row>
    <row r="6499" spans="1:1" x14ac:dyDescent="0.2">
      <c r="A6499" s="366"/>
    </row>
    <row r="6500" spans="1:1" x14ac:dyDescent="0.2">
      <c r="A6500" s="366"/>
    </row>
    <row r="6501" spans="1:1" x14ac:dyDescent="0.2">
      <c r="A6501" s="366"/>
    </row>
    <row r="6502" spans="1:1" x14ac:dyDescent="0.2">
      <c r="A6502" s="366"/>
    </row>
    <row r="6503" spans="1:1" x14ac:dyDescent="0.2">
      <c r="A6503" s="366"/>
    </row>
    <row r="6504" spans="1:1" x14ac:dyDescent="0.2">
      <c r="A6504" s="366"/>
    </row>
    <row r="6505" spans="1:1" x14ac:dyDescent="0.2">
      <c r="A6505" s="366"/>
    </row>
    <row r="6506" spans="1:1" x14ac:dyDescent="0.2">
      <c r="A6506" s="366"/>
    </row>
    <row r="6507" spans="1:1" x14ac:dyDescent="0.2">
      <c r="A6507" s="366"/>
    </row>
    <row r="6508" spans="1:1" x14ac:dyDescent="0.2">
      <c r="A6508" s="366"/>
    </row>
    <row r="6509" spans="1:1" x14ac:dyDescent="0.2">
      <c r="A6509" s="366"/>
    </row>
    <row r="6510" spans="1:1" x14ac:dyDescent="0.2">
      <c r="A6510" s="366"/>
    </row>
    <row r="6511" spans="1:1" x14ac:dyDescent="0.2">
      <c r="A6511" s="366"/>
    </row>
    <row r="6512" spans="1:1" x14ac:dyDescent="0.2">
      <c r="A6512" s="366"/>
    </row>
    <row r="6513" spans="1:1" x14ac:dyDescent="0.2">
      <c r="A6513" s="366"/>
    </row>
    <row r="6514" spans="1:1" x14ac:dyDescent="0.2">
      <c r="A6514" s="366"/>
    </row>
    <row r="6515" spans="1:1" x14ac:dyDescent="0.2">
      <c r="A6515" s="366"/>
    </row>
    <row r="6516" spans="1:1" x14ac:dyDescent="0.2">
      <c r="A6516" s="366"/>
    </row>
    <row r="6517" spans="1:1" x14ac:dyDescent="0.2">
      <c r="A6517" s="366"/>
    </row>
    <row r="6518" spans="1:1" x14ac:dyDescent="0.2">
      <c r="A6518" s="366"/>
    </row>
    <row r="6519" spans="1:1" x14ac:dyDescent="0.2">
      <c r="A6519" s="366"/>
    </row>
    <row r="6520" spans="1:1" x14ac:dyDescent="0.2">
      <c r="A6520" s="366"/>
    </row>
    <row r="6521" spans="1:1" x14ac:dyDescent="0.2">
      <c r="A6521" s="366"/>
    </row>
    <row r="6522" spans="1:1" x14ac:dyDescent="0.2">
      <c r="A6522" s="366"/>
    </row>
    <row r="6523" spans="1:1" x14ac:dyDescent="0.2">
      <c r="A6523" s="366"/>
    </row>
    <row r="6524" spans="1:1" x14ac:dyDescent="0.2">
      <c r="A6524" s="366"/>
    </row>
    <row r="6525" spans="1:1" x14ac:dyDescent="0.2">
      <c r="A6525" s="366"/>
    </row>
    <row r="6526" spans="1:1" x14ac:dyDescent="0.2">
      <c r="A6526" s="366"/>
    </row>
    <row r="6527" spans="1:1" x14ac:dyDescent="0.2">
      <c r="A6527" s="366"/>
    </row>
    <row r="6528" spans="1:1" x14ac:dyDescent="0.2">
      <c r="A6528" s="366"/>
    </row>
    <row r="6529" spans="1:1" x14ac:dyDescent="0.2">
      <c r="A6529" s="366"/>
    </row>
    <row r="6530" spans="1:1" x14ac:dyDescent="0.2">
      <c r="A6530" s="366"/>
    </row>
    <row r="6531" spans="1:1" x14ac:dyDescent="0.2">
      <c r="A6531" s="366"/>
    </row>
    <row r="6532" spans="1:1" x14ac:dyDescent="0.2">
      <c r="A6532" s="366"/>
    </row>
    <row r="6533" spans="1:1" x14ac:dyDescent="0.2">
      <c r="A6533" s="366"/>
    </row>
    <row r="6534" spans="1:1" x14ac:dyDescent="0.2">
      <c r="A6534" s="366"/>
    </row>
    <row r="6535" spans="1:1" x14ac:dyDescent="0.2">
      <c r="A6535" s="366"/>
    </row>
    <row r="6536" spans="1:1" x14ac:dyDescent="0.2">
      <c r="A6536" s="366"/>
    </row>
    <row r="6537" spans="1:1" x14ac:dyDescent="0.2">
      <c r="A6537" s="366"/>
    </row>
    <row r="6538" spans="1:1" x14ac:dyDescent="0.2">
      <c r="A6538" s="366"/>
    </row>
    <row r="6539" spans="1:1" x14ac:dyDescent="0.2">
      <c r="A6539" s="366"/>
    </row>
    <row r="6540" spans="1:1" x14ac:dyDescent="0.2">
      <c r="A6540" s="366"/>
    </row>
    <row r="6541" spans="1:1" x14ac:dyDescent="0.2">
      <c r="A6541" s="366"/>
    </row>
    <row r="6542" spans="1:1" x14ac:dyDescent="0.2">
      <c r="A6542" s="366"/>
    </row>
    <row r="6543" spans="1:1" x14ac:dyDescent="0.2">
      <c r="A6543" s="366"/>
    </row>
    <row r="6544" spans="1:1" x14ac:dyDescent="0.2">
      <c r="A6544" s="366"/>
    </row>
    <row r="6545" spans="1:1" x14ac:dyDescent="0.2">
      <c r="A6545" s="366"/>
    </row>
    <row r="6546" spans="1:1" x14ac:dyDescent="0.2">
      <c r="A6546" s="366"/>
    </row>
    <row r="6547" spans="1:1" x14ac:dyDescent="0.2">
      <c r="A6547" s="366"/>
    </row>
    <row r="6548" spans="1:1" x14ac:dyDescent="0.2">
      <c r="A6548" s="366"/>
    </row>
    <row r="6549" spans="1:1" x14ac:dyDescent="0.2">
      <c r="A6549" s="366"/>
    </row>
    <row r="6550" spans="1:1" x14ac:dyDescent="0.2">
      <c r="A6550" s="366"/>
    </row>
    <row r="6551" spans="1:1" x14ac:dyDescent="0.2">
      <c r="A6551" s="366"/>
    </row>
    <row r="6552" spans="1:1" x14ac:dyDescent="0.2">
      <c r="A6552" s="366"/>
    </row>
    <row r="6553" spans="1:1" x14ac:dyDescent="0.2">
      <c r="A6553" s="366"/>
    </row>
    <row r="6554" spans="1:1" x14ac:dyDescent="0.2">
      <c r="A6554" s="366"/>
    </row>
    <row r="6555" spans="1:1" x14ac:dyDescent="0.2">
      <c r="A6555" s="366"/>
    </row>
    <row r="6556" spans="1:1" x14ac:dyDescent="0.2">
      <c r="A6556" s="366"/>
    </row>
    <row r="6557" spans="1:1" x14ac:dyDescent="0.2">
      <c r="A6557" s="366"/>
    </row>
    <row r="6558" spans="1:1" x14ac:dyDescent="0.2">
      <c r="A6558" s="366"/>
    </row>
    <row r="6559" spans="1:1" x14ac:dyDescent="0.2">
      <c r="A6559" s="366"/>
    </row>
    <row r="6560" spans="1:1" x14ac:dyDescent="0.2">
      <c r="A6560" s="366"/>
    </row>
    <row r="6561" spans="1:1" x14ac:dyDescent="0.2">
      <c r="A6561" s="366"/>
    </row>
    <row r="6562" spans="1:1" x14ac:dyDescent="0.2">
      <c r="A6562" s="366"/>
    </row>
    <row r="6563" spans="1:1" x14ac:dyDescent="0.2">
      <c r="A6563" s="366"/>
    </row>
    <row r="6564" spans="1:1" x14ac:dyDescent="0.2">
      <c r="A6564" s="366"/>
    </row>
    <row r="6565" spans="1:1" x14ac:dyDescent="0.2">
      <c r="A6565" s="366"/>
    </row>
    <row r="6566" spans="1:1" x14ac:dyDescent="0.2">
      <c r="A6566" s="366"/>
    </row>
    <row r="6567" spans="1:1" x14ac:dyDescent="0.2">
      <c r="A6567" s="366"/>
    </row>
    <row r="6568" spans="1:1" x14ac:dyDescent="0.2">
      <c r="A6568" s="366"/>
    </row>
    <row r="6569" spans="1:1" x14ac:dyDescent="0.2">
      <c r="A6569" s="366"/>
    </row>
    <row r="6570" spans="1:1" x14ac:dyDescent="0.2">
      <c r="A6570" s="366"/>
    </row>
    <row r="6571" spans="1:1" x14ac:dyDescent="0.2">
      <c r="A6571" s="366"/>
    </row>
    <row r="6572" spans="1:1" x14ac:dyDescent="0.2">
      <c r="A6572" s="366"/>
    </row>
    <row r="6573" spans="1:1" x14ac:dyDescent="0.2">
      <c r="A6573" s="366"/>
    </row>
    <row r="6574" spans="1:1" x14ac:dyDescent="0.2">
      <c r="A6574" s="366"/>
    </row>
    <row r="6575" spans="1:1" x14ac:dyDescent="0.2">
      <c r="A6575" s="366"/>
    </row>
    <row r="6576" spans="1:1" x14ac:dyDescent="0.2">
      <c r="A6576" s="366"/>
    </row>
    <row r="6577" spans="1:1" x14ac:dyDescent="0.2">
      <c r="A6577" s="366"/>
    </row>
    <row r="6578" spans="1:1" x14ac:dyDescent="0.2">
      <c r="A6578" s="366"/>
    </row>
    <row r="6579" spans="1:1" x14ac:dyDescent="0.2">
      <c r="A6579" s="366"/>
    </row>
    <row r="6580" spans="1:1" x14ac:dyDescent="0.2">
      <c r="A6580" s="366"/>
    </row>
    <row r="6581" spans="1:1" x14ac:dyDescent="0.2">
      <c r="A6581" s="366"/>
    </row>
    <row r="6582" spans="1:1" x14ac:dyDescent="0.2">
      <c r="A6582" s="366"/>
    </row>
    <row r="6583" spans="1:1" x14ac:dyDescent="0.2">
      <c r="A6583" s="366"/>
    </row>
    <row r="6584" spans="1:1" x14ac:dyDescent="0.2">
      <c r="A6584" s="366"/>
    </row>
    <row r="6585" spans="1:1" x14ac:dyDescent="0.2">
      <c r="A6585" s="366"/>
    </row>
    <row r="6586" spans="1:1" x14ac:dyDescent="0.2">
      <c r="A6586" s="366"/>
    </row>
    <row r="6587" spans="1:1" x14ac:dyDescent="0.2">
      <c r="A6587" s="366"/>
    </row>
    <row r="6588" spans="1:1" x14ac:dyDescent="0.2">
      <c r="A6588" s="366"/>
    </row>
    <row r="6589" spans="1:1" x14ac:dyDescent="0.2">
      <c r="A6589" s="366"/>
    </row>
    <row r="6590" spans="1:1" x14ac:dyDescent="0.2">
      <c r="A6590" s="366"/>
    </row>
    <row r="6591" spans="1:1" x14ac:dyDescent="0.2">
      <c r="A6591" s="366"/>
    </row>
    <row r="6592" spans="1:1" x14ac:dyDescent="0.2">
      <c r="A6592" s="366"/>
    </row>
    <row r="6593" spans="1:1" x14ac:dyDescent="0.2">
      <c r="A6593" s="366"/>
    </row>
    <row r="6594" spans="1:1" x14ac:dyDescent="0.2">
      <c r="A6594" s="366"/>
    </row>
    <row r="6595" spans="1:1" x14ac:dyDescent="0.2">
      <c r="A6595" s="366"/>
    </row>
    <row r="6596" spans="1:1" x14ac:dyDescent="0.2">
      <c r="A6596" s="366"/>
    </row>
    <row r="6597" spans="1:1" x14ac:dyDescent="0.2">
      <c r="A6597" s="366"/>
    </row>
    <row r="6598" spans="1:1" x14ac:dyDescent="0.2">
      <c r="A6598" s="366"/>
    </row>
    <row r="6599" spans="1:1" x14ac:dyDescent="0.2">
      <c r="A6599" s="366"/>
    </row>
    <row r="6600" spans="1:1" x14ac:dyDescent="0.2">
      <c r="A6600" s="366"/>
    </row>
    <row r="6601" spans="1:1" x14ac:dyDescent="0.2">
      <c r="A6601" s="366"/>
    </row>
    <row r="6602" spans="1:1" x14ac:dyDescent="0.2">
      <c r="A6602" s="366"/>
    </row>
    <row r="6603" spans="1:1" x14ac:dyDescent="0.2">
      <c r="A6603" s="366"/>
    </row>
    <row r="6604" spans="1:1" x14ac:dyDescent="0.2">
      <c r="A6604" s="366"/>
    </row>
    <row r="6605" spans="1:1" x14ac:dyDescent="0.2">
      <c r="A6605" s="366"/>
    </row>
    <row r="6606" spans="1:1" x14ac:dyDescent="0.2">
      <c r="A6606" s="366"/>
    </row>
    <row r="6607" spans="1:1" x14ac:dyDescent="0.2">
      <c r="A6607" s="366"/>
    </row>
    <row r="6608" spans="1:1" x14ac:dyDescent="0.2">
      <c r="A6608" s="366"/>
    </row>
    <row r="6609" spans="1:1" x14ac:dyDescent="0.2">
      <c r="A6609" s="366"/>
    </row>
    <row r="6610" spans="1:1" x14ac:dyDescent="0.2">
      <c r="A6610" s="366"/>
    </row>
    <row r="6611" spans="1:1" x14ac:dyDescent="0.2">
      <c r="A6611" s="366"/>
    </row>
    <row r="6612" spans="1:1" x14ac:dyDescent="0.2">
      <c r="A6612" s="366"/>
    </row>
    <row r="6613" spans="1:1" x14ac:dyDescent="0.2">
      <c r="A6613" s="366"/>
    </row>
    <row r="6614" spans="1:1" x14ac:dyDescent="0.2">
      <c r="A6614" s="366"/>
    </row>
    <row r="6615" spans="1:1" x14ac:dyDescent="0.2">
      <c r="A6615" s="366"/>
    </row>
    <row r="6616" spans="1:1" x14ac:dyDescent="0.2">
      <c r="A6616" s="366"/>
    </row>
    <row r="6617" spans="1:1" x14ac:dyDescent="0.2">
      <c r="A6617" s="366"/>
    </row>
    <row r="6618" spans="1:1" x14ac:dyDescent="0.2">
      <c r="A6618" s="366"/>
    </row>
    <row r="6619" spans="1:1" x14ac:dyDescent="0.2">
      <c r="A6619" s="366"/>
    </row>
    <row r="6620" spans="1:1" x14ac:dyDescent="0.2">
      <c r="A6620" s="366"/>
    </row>
    <row r="6621" spans="1:1" x14ac:dyDescent="0.2">
      <c r="A6621" s="366"/>
    </row>
    <row r="6622" spans="1:1" x14ac:dyDescent="0.2">
      <c r="A6622" s="366"/>
    </row>
    <row r="6623" spans="1:1" x14ac:dyDescent="0.2">
      <c r="A6623" s="366"/>
    </row>
    <row r="6624" spans="1:1" x14ac:dyDescent="0.2">
      <c r="A6624" s="366"/>
    </row>
    <row r="6625" spans="1:1" x14ac:dyDescent="0.2">
      <c r="A6625" s="366"/>
    </row>
    <row r="6626" spans="1:1" x14ac:dyDescent="0.2">
      <c r="A6626" s="366"/>
    </row>
    <row r="6627" spans="1:1" x14ac:dyDescent="0.2">
      <c r="A6627" s="366"/>
    </row>
    <row r="6628" spans="1:1" x14ac:dyDescent="0.2">
      <c r="A6628" s="366"/>
    </row>
    <row r="6629" spans="1:1" x14ac:dyDescent="0.2">
      <c r="A6629" s="366"/>
    </row>
    <row r="6630" spans="1:1" x14ac:dyDescent="0.2">
      <c r="A6630" s="366"/>
    </row>
    <row r="6631" spans="1:1" x14ac:dyDescent="0.2">
      <c r="A6631" s="366"/>
    </row>
    <row r="6632" spans="1:1" x14ac:dyDescent="0.2">
      <c r="A6632" s="366"/>
    </row>
    <row r="6633" spans="1:1" x14ac:dyDescent="0.2">
      <c r="A6633" s="366"/>
    </row>
    <row r="6634" spans="1:1" x14ac:dyDescent="0.2">
      <c r="A6634" s="366"/>
    </row>
    <row r="6635" spans="1:1" x14ac:dyDescent="0.2">
      <c r="A6635" s="366"/>
    </row>
    <row r="6636" spans="1:1" x14ac:dyDescent="0.2">
      <c r="A6636" s="366"/>
    </row>
    <row r="6637" spans="1:1" x14ac:dyDescent="0.2">
      <c r="A6637" s="366"/>
    </row>
    <row r="6638" spans="1:1" x14ac:dyDescent="0.2">
      <c r="A6638" s="366"/>
    </row>
    <row r="6639" spans="1:1" x14ac:dyDescent="0.2">
      <c r="A6639" s="366"/>
    </row>
    <row r="6640" spans="1:1" x14ac:dyDescent="0.2">
      <c r="A6640" s="366"/>
    </row>
    <row r="6641" spans="1:1" x14ac:dyDescent="0.2">
      <c r="A6641" s="366"/>
    </row>
    <row r="6642" spans="1:1" x14ac:dyDescent="0.2">
      <c r="A6642" s="366"/>
    </row>
    <row r="6643" spans="1:1" x14ac:dyDescent="0.2">
      <c r="A6643" s="366"/>
    </row>
    <row r="6644" spans="1:1" x14ac:dyDescent="0.2">
      <c r="A6644" s="366"/>
    </row>
    <row r="6645" spans="1:1" x14ac:dyDescent="0.2">
      <c r="A6645" s="366"/>
    </row>
    <row r="6646" spans="1:1" x14ac:dyDescent="0.2">
      <c r="A6646" s="366"/>
    </row>
    <row r="6647" spans="1:1" x14ac:dyDescent="0.2">
      <c r="A6647" s="366"/>
    </row>
    <row r="6648" spans="1:1" x14ac:dyDescent="0.2">
      <c r="A6648" s="366"/>
    </row>
    <row r="6649" spans="1:1" x14ac:dyDescent="0.2">
      <c r="A6649" s="366"/>
    </row>
    <row r="6650" spans="1:1" x14ac:dyDescent="0.2">
      <c r="A6650" s="366"/>
    </row>
    <row r="6651" spans="1:1" x14ac:dyDescent="0.2">
      <c r="A6651" s="366"/>
    </row>
    <row r="6652" spans="1:1" x14ac:dyDescent="0.2">
      <c r="A6652" s="366"/>
    </row>
    <row r="6653" spans="1:1" x14ac:dyDescent="0.2">
      <c r="A6653" s="366"/>
    </row>
    <row r="6654" spans="1:1" x14ac:dyDescent="0.2">
      <c r="A6654" s="366"/>
    </row>
    <row r="6655" spans="1:1" x14ac:dyDescent="0.2">
      <c r="A6655" s="366"/>
    </row>
    <row r="6656" spans="1:1" x14ac:dyDescent="0.2">
      <c r="A6656" s="366"/>
    </row>
    <row r="6657" spans="1:1" x14ac:dyDescent="0.2">
      <c r="A6657" s="366"/>
    </row>
    <row r="6658" spans="1:1" x14ac:dyDescent="0.2">
      <c r="A6658" s="366"/>
    </row>
    <row r="6659" spans="1:1" x14ac:dyDescent="0.2">
      <c r="A6659" s="366"/>
    </row>
    <row r="6660" spans="1:1" x14ac:dyDescent="0.2">
      <c r="A6660" s="366"/>
    </row>
    <row r="6661" spans="1:1" x14ac:dyDescent="0.2">
      <c r="A6661" s="366"/>
    </row>
    <row r="6662" spans="1:1" x14ac:dyDescent="0.2">
      <c r="A6662" s="366"/>
    </row>
    <row r="6663" spans="1:1" x14ac:dyDescent="0.2">
      <c r="A6663" s="366"/>
    </row>
    <row r="6664" spans="1:1" x14ac:dyDescent="0.2">
      <c r="A6664" s="366"/>
    </row>
    <row r="6665" spans="1:1" x14ac:dyDescent="0.2">
      <c r="A6665" s="366"/>
    </row>
    <row r="6666" spans="1:1" x14ac:dyDescent="0.2">
      <c r="A6666" s="366"/>
    </row>
    <row r="6667" spans="1:1" x14ac:dyDescent="0.2">
      <c r="A6667" s="366"/>
    </row>
    <row r="6668" spans="1:1" x14ac:dyDescent="0.2">
      <c r="A6668" s="366"/>
    </row>
    <row r="6669" spans="1:1" x14ac:dyDescent="0.2">
      <c r="A6669" s="366"/>
    </row>
    <row r="6670" spans="1:1" x14ac:dyDescent="0.2">
      <c r="A6670" s="366"/>
    </row>
    <row r="6671" spans="1:1" x14ac:dyDescent="0.2">
      <c r="A6671" s="366"/>
    </row>
    <row r="6672" spans="1:1" x14ac:dyDescent="0.2">
      <c r="A6672" s="366"/>
    </row>
    <row r="6673" spans="1:1" x14ac:dyDescent="0.2">
      <c r="A6673" s="366"/>
    </row>
    <row r="6674" spans="1:1" x14ac:dyDescent="0.2">
      <c r="A6674" s="366"/>
    </row>
    <row r="6675" spans="1:1" x14ac:dyDescent="0.2">
      <c r="A6675" s="366"/>
    </row>
    <row r="6676" spans="1:1" x14ac:dyDescent="0.2">
      <c r="A6676" s="366"/>
    </row>
    <row r="6677" spans="1:1" x14ac:dyDescent="0.2">
      <c r="A6677" s="366"/>
    </row>
    <row r="6678" spans="1:1" x14ac:dyDescent="0.2">
      <c r="A6678" s="366"/>
    </row>
    <row r="6679" spans="1:1" x14ac:dyDescent="0.2">
      <c r="A6679" s="366"/>
    </row>
    <row r="6680" spans="1:1" x14ac:dyDescent="0.2">
      <c r="A6680" s="366"/>
    </row>
    <row r="6681" spans="1:1" x14ac:dyDescent="0.2">
      <c r="A6681" s="366"/>
    </row>
    <row r="6682" spans="1:1" x14ac:dyDescent="0.2">
      <c r="A6682" s="366"/>
    </row>
    <row r="6683" spans="1:1" x14ac:dyDescent="0.2">
      <c r="A6683" s="366"/>
    </row>
    <row r="6684" spans="1:1" x14ac:dyDescent="0.2">
      <c r="A6684" s="366"/>
    </row>
    <row r="6685" spans="1:1" x14ac:dyDescent="0.2">
      <c r="A6685" s="366"/>
    </row>
    <row r="6686" spans="1:1" x14ac:dyDescent="0.2">
      <c r="A6686" s="366"/>
    </row>
    <row r="6687" spans="1:1" x14ac:dyDescent="0.2">
      <c r="A6687" s="366"/>
    </row>
    <row r="6688" spans="1:1" x14ac:dyDescent="0.2">
      <c r="A6688" s="366"/>
    </row>
    <row r="6689" spans="1:1" x14ac:dyDescent="0.2">
      <c r="A6689" s="366"/>
    </row>
    <row r="6690" spans="1:1" x14ac:dyDescent="0.2">
      <c r="A6690" s="366"/>
    </row>
    <row r="6691" spans="1:1" x14ac:dyDescent="0.2">
      <c r="A6691" s="366"/>
    </row>
    <row r="6692" spans="1:1" x14ac:dyDescent="0.2">
      <c r="A6692" s="366"/>
    </row>
    <row r="6693" spans="1:1" x14ac:dyDescent="0.2">
      <c r="A6693" s="366"/>
    </row>
    <row r="6694" spans="1:1" x14ac:dyDescent="0.2">
      <c r="A6694" s="366"/>
    </row>
    <row r="6695" spans="1:1" x14ac:dyDescent="0.2">
      <c r="A6695" s="366"/>
    </row>
    <row r="6696" spans="1:1" x14ac:dyDescent="0.2">
      <c r="A6696" s="366"/>
    </row>
    <row r="6697" spans="1:1" x14ac:dyDescent="0.2">
      <c r="A6697" s="366"/>
    </row>
    <row r="6698" spans="1:1" x14ac:dyDescent="0.2">
      <c r="A6698" s="366"/>
    </row>
    <row r="6699" spans="1:1" x14ac:dyDescent="0.2">
      <c r="A6699" s="366"/>
    </row>
    <row r="6700" spans="1:1" x14ac:dyDescent="0.2">
      <c r="A6700" s="366"/>
    </row>
    <row r="6701" spans="1:1" x14ac:dyDescent="0.2">
      <c r="A6701" s="366"/>
    </row>
    <row r="6702" spans="1:1" x14ac:dyDescent="0.2">
      <c r="A6702" s="366"/>
    </row>
    <row r="6703" spans="1:1" x14ac:dyDescent="0.2">
      <c r="A6703" s="366"/>
    </row>
    <row r="6704" spans="1:1" x14ac:dyDescent="0.2">
      <c r="A6704" s="366"/>
    </row>
    <row r="6705" spans="1:1" x14ac:dyDescent="0.2">
      <c r="A6705" s="366"/>
    </row>
    <row r="6706" spans="1:1" x14ac:dyDescent="0.2">
      <c r="A6706" s="366"/>
    </row>
    <row r="6707" spans="1:1" x14ac:dyDescent="0.2">
      <c r="A6707" s="366"/>
    </row>
    <row r="6708" spans="1:1" x14ac:dyDescent="0.2">
      <c r="A6708" s="366"/>
    </row>
    <row r="6709" spans="1:1" x14ac:dyDescent="0.2">
      <c r="A6709" s="366"/>
    </row>
    <row r="6710" spans="1:1" x14ac:dyDescent="0.2">
      <c r="A6710" s="366"/>
    </row>
    <row r="6711" spans="1:1" x14ac:dyDescent="0.2">
      <c r="A6711" s="366"/>
    </row>
    <row r="6712" spans="1:1" x14ac:dyDescent="0.2">
      <c r="A6712" s="366"/>
    </row>
    <row r="6713" spans="1:1" x14ac:dyDescent="0.2">
      <c r="A6713" s="366"/>
    </row>
    <row r="6714" spans="1:1" x14ac:dyDescent="0.2">
      <c r="A6714" s="366"/>
    </row>
    <row r="6715" spans="1:1" x14ac:dyDescent="0.2">
      <c r="A6715" s="366"/>
    </row>
    <row r="6716" spans="1:1" x14ac:dyDescent="0.2">
      <c r="A6716" s="366"/>
    </row>
    <row r="6717" spans="1:1" x14ac:dyDescent="0.2">
      <c r="A6717" s="366"/>
    </row>
    <row r="6718" spans="1:1" x14ac:dyDescent="0.2">
      <c r="A6718" s="366"/>
    </row>
    <row r="6719" spans="1:1" x14ac:dyDescent="0.2">
      <c r="A6719" s="366"/>
    </row>
    <row r="6720" spans="1:1" x14ac:dyDescent="0.2">
      <c r="A6720" s="366"/>
    </row>
    <row r="6721" spans="1:1" x14ac:dyDescent="0.2">
      <c r="A6721" s="366"/>
    </row>
    <row r="6722" spans="1:1" x14ac:dyDescent="0.2">
      <c r="A6722" s="366"/>
    </row>
    <row r="6723" spans="1:1" x14ac:dyDescent="0.2">
      <c r="A6723" s="366"/>
    </row>
    <row r="6724" spans="1:1" x14ac:dyDescent="0.2">
      <c r="A6724" s="366"/>
    </row>
    <row r="6725" spans="1:1" x14ac:dyDescent="0.2">
      <c r="A6725" s="366"/>
    </row>
    <row r="6726" spans="1:1" x14ac:dyDescent="0.2">
      <c r="A6726" s="366"/>
    </row>
    <row r="6727" spans="1:1" x14ac:dyDescent="0.2">
      <c r="A6727" s="366"/>
    </row>
    <row r="6728" spans="1:1" x14ac:dyDescent="0.2">
      <c r="A6728" s="366"/>
    </row>
    <row r="6729" spans="1:1" x14ac:dyDescent="0.2">
      <c r="A6729" s="366"/>
    </row>
    <row r="6730" spans="1:1" x14ac:dyDescent="0.2">
      <c r="A6730" s="366"/>
    </row>
    <row r="6731" spans="1:1" x14ac:dyDescent="0.2">
      <c r="A6731" s="366"/>
    </row>
    <row r="6732" spans="1:1" x14ac:dyDescent="0.2">
      <c r="A6732" s="366"/>
    </row>
    <row r="6733" spans="1:1" x14ac:dyDescent="0.2">
      <c r="A6733" s="366"/>
    </row>
    <row r="6734" spans="1:1" x14ac:dyDescent="0.2">
      <c r="A6734" s="366"/>
    </row>
    <row r="6735" spans="1:1" x14ac:dyDescent="0.2">
      <c r="A6735" s="366"/>
    </row>
    <row r="6736" spans="1:1" x14ac:dyDescent="0.2">
      <c r="A6736" s="366"/>
    </row>
    <row r="6737" spans="1:1" x14ac:dyDescent="0.2">
      <c r="A6737" s="366"/>
    </row>
    <row r="6738" spans="1:1" x14ac:dyDescent="0.2">
      <c r="A6738" s="366"/>
    </row>
    <row r="6739" spans="1:1" x14ac:dyDescent="0.2">
      <c r="A6739" s="366"/>
    </row>
    <row r="6740" spans="1:1" x14ac:dyDescent="0.2">
      <c r="A6740" s="366"/>
    </row>
    <row r="6741" spans="1:1" x14ac:dyDescent="0.2">
      <c r="A6741" s="366"/>
    </row>
    <row r="6742" spans="1:1" x14ac:dyDescent="0.2">
      <c r="A6742" s="366"/>
    </row>
    <row r="6743" spans="1:1" x14ac:dyDescent="0.2">
      <c r="A6743" s="366"/>
    </row>
    <row r="6744" spans="1:1" x14ac:dyDescent="0.2">
      <c r="A6744" s="366"/>
    </row>
    <row r="6745" spans="1:1" x14ac:dyDescent="0.2">
      <c r="A6745" s="366"/>
    </row>
    <row r="6746" spans="1:1" x14ac:dyDescent="0.2">
      <c r="A6746" s="366"/>
    </row>
    <row r="6747" spans="1:1" x14ac:dyDescent="0.2">
      <c r="A6747" s="366"/>
    </row>
    <row r="6748" spans="1:1" x14ac:dyDescent="0.2">
      <c r="A6748" s="366"/>
    </row>
    <row r="6749" spans="1:1" x14ac:dyDescent="0.2">
      <c r="A6749" s="366"/>
    </row>
    <row r="6750" spans="1:1" x14ac:dyDescent="0.2">
      <c r="A6750" s="366"/>
    </row>
    <row r="6751" spans="1:1" x14ac:dyDescent="0.2">
      <c r="A6751" s="366"/>
    </row>
    <row r="6752" spans="1:1" x14ac:dyDescent="0.2">
      <c r="A6752" s="366"/>
    </row>
    <row r="6753" spans="1:1" x14ac:dyDescent="0.2">
      <c r="A6753" s="366"/>
    </row>
    <row r="6754" spans="1:1" x14ac:dyDescent="0.2">
      <c r="A6754" s="366"/>
    </row>
    <row r="6755" spans="1:1" x14ac:dyDescent="0.2">
      <c r="A6755" s="366"/>
    </row>
    <row r="6756" spans="1:1" x14ac:dyDescent="0.2">
      <c r="A6756" s="366"/>
    </row>
    <row r="6757" spans="1:1" x14ac:dyDescent="0.2">
      <c r="A6757" s="366"/>
    </row>
    <row r="6758" spans="1:1" x14ac:dyDescent="0.2">
      <c r="A6758" s="366"/>
    </row>
    <row r="6759" spans="1:1" x14ac:dyDescent="0.2">
      <c r="A6759" s="366"/>
    </row>
    <row r="6760" spans="1:1" x14ac:dyDescent="0.2">
      <c r="A6760" s="366"/>
    </row>
    <row r="6761" spans="1:1" x14ac:dyDescent="0.2">
      <c r="A6761" s="366"/>
    </row>
    <row r="6762" spans="1:1" x14ac:dyDescent="0.2">
      <c r="A6762" s="366"/>
    </row>
    <row r="6763" spans="1:1" x14ac:dyDescent="0.2">
      <c r="A6763" s="366"/>
    </row>
    <row r="6764" spans="1:1" x14ac:dyDescent="0.2">
      <c r="A6764" s="366"/>
    </row>
    <row r="6765" spans="1:1" x14ac:dyDescent="0.2">
      <c r="A6765" s="366"/>
    </row>
    <row r="6766" spans="1:1" x14ac:dyDescent="0.2">
      <c r="A6766" s="366"/>
    </row>
    <row r="6767" spans="1:1" x14ac:dyDescent="0.2">
      <c r="A6767" s="366"/>
    </row>
    <row r="6768" spans="1:1" x14ac:dyDescent="0.2">
      <c r="A6768" s="366"/>
    </row>
    <row r="6769" spans="1:1" x14ac:dyDescent="0.2">
      <c r="A6769" s="366"/>
    </row>
    <row r="6770" spans="1:1" x14ac:dyDescent="0.2">
      <c r="A6770" s="366"/>
    </row>
    <row r="6771" spans="1:1" x14ac:dyDescent="0.2">
      <c r="A6771" s="366"/>
    </row>
    <row r="6772" spans="1:1" x14ac:dyDescent="0.2">
      <c r="A6772" s="366"/>
    </row>
    <row r="6773" spans="1:1" x14ac:dyDescent="0.2">
      <c r="A6773" s="366"/>
    </row>
    <row r="6774" spans="1:1" x14ac:dyDescent="0.2">
      <c r="A6774" s="366"/>
    </row>
    <row r="6775" spans="1:1" x14ac:dyDescent="0.2">
      <c r="A6775" s="366"/>
    </row>
    <row r="6776" spans="1:1" x14ac:dyDescent="0.2">
      <c r="A6776" s="366"/>
    </row>
    <row r="6777" spans="1:1" x14ac:dyDescent="0.2">
      <c r="A6777" s="366"/>
    </row>
    <row r="6778" spans="1:1" x14ac:dyDescent="0.2">
      <c r="A6778" s="366"/>
    </row>
    <row r="6779" spans="1:1" x14ac:dyDescent="0.2">
      <c r="A6779" s="366"/>
    </row>
    <row r="6780" spans="1:1" x14ac:dyDescent="0.2">
      <c r="A6780" s="366"/>
    </row>
    <row r="6781" spans="1:1" x14ac:dyDescent="0.2">
      <c r="A6781" s="366"/>
    </row>
    <row r="6782" spans="1:1" x14ac:dyDescent="0.2">
      <c r="A6782" s="366"/>
    </row>
    <row r="6783" spans="1:1" x14ac:dyDescent="0.2">
      <c r="A6783" s="366"/>
    </row>
    <row r="6784" spans="1:1" x14ac:dyDescent="0.2">
      <c r="A6784" s="366"/>
    </row>
    <row r="6785" spans="1:1" x14ac:dyDescent="0.2">
      <c r="A6785" s="366"/>
    </row>
    <row r="6786" spans="1:1" x14ac:dyDescent="0.2">
      <c r="A6786" s="366"/>
    </row>
    <row r="6787" spans="1:1" x14ac:dyDescent="0.2">
      <c r="A6787" s="366"/>
    </row>
    <row r="6788" spans="1:1" x14ac:dyDescent="0.2">
      <c r="A6788" s="366"/>
    </row>
    <row r="6789" spans="1:1" x14ac:dyDescent="0.2">
      <c r="A6789" s="366"/>
    </row>
    <row r="6790" spans="1:1" x14ac:dyDescent="0.2">
      <c r="A6790" s="366"/>
    </row>
    <row r="6791" spans="1:1" x14ac:dyDescent="0.2">
      <c r="A6791" s="366"/>
    </row>
    <row r="6792" spans="1:1" x14ac:dyDescent="0.2">
      <c r="A6792" s="366"/>
    </row>
    <row r="6793" spans="1:1" x14ac:dyDescent="0.2">
      <c r="A6793" s="366"/>
    </row>
    <row r="6794" spans="1:1" x14ac:dyDescent="0.2">
      <c r="A6794" s="366"/>
    </row>
    <row r="6795" spans="1:1" x14ac:dyDescent="0.2">
      <c r="A6795" s="366"/>
    </row>
    <row r="6796" spans="1:1" x14ac:dyDescent="0.2">
      <c r="A6796" s="366"/>
    </row>
    <row r="6797" spans="1:1" x14ac:dyDescent="0.2">
      <c r="A6797" s="366"/>
    </row>
    <row r="6798" spans="1:1" x14ac:dyDescent="0.2">
      <c r="A6798" s="366"/>
    </row>
    <row r="6799" spans="1:1" x14ac:dyDescent="0.2">
      <c r="A6799" s="366"/>
    </row>
    <row r="6800" spans="1:1" x14ac:dyDescent="0.2">
      <c r="A6800" s="366"/>
    </row>
    <row r="6801" spans="1:1" x14ac:dyDescent="0.2">
      <c r="A6801" s="366"/>
    </row>
    <row r="6802" spans="1:1" x14ac:dyDescent="0.2">
      <c r="A6802" s="366"/>
    </row>
    <row r="6803" spans="1:1" x14ac:dyDescent="0.2">
      <c r="A6803" s="366"/>
    </row>
    <row r="6804" spans="1:1" x14ac:dyDescent="0.2">
      <c r="A6804" s="366"/>
    </row>
    <row r="6805" spans="1:1" x14ac:dyDescent="0.2">
      <c r="A6805" s="366"/>
    </row>
    <row r="6806" spans="1:1" x14ac:dyDescent="0.2">
      <c r="A6806" s="366"/>
    </row>
    <row r="6807" spans="1:1" x14ac:dyDescent="0.2">
      <c r="A6807" s="366"/>
    </row>
    <row r="6808" spans="1:1" x14ac:dyDescent="0.2">
      <c r="A6808" s="366"/>
    </row>
    <row r="6809" spans="1:1" x14ac:dyDescent="0.2">
      <c r="A6809" s="366"/>
    </row>
    <row r="6810" spans="1:1" x14ac:dyDescent="0.2">
      <c r="A6810" s="366"/>
    </row>
    <row r="6811" spans="1:1" x14ac:dyDescent="0.2">
      <c r="A6811" s="366"/>
    </row>
    <row r="6812" spans="1:1" x14ac:dyDescent="0.2">
      <c r="A6812" s="366"/>
    </row>
    <row r="6813" spans="1:1" x14ac:dyDescent="0.2">
      <c r="A6813" s="366"/>
    </row>
    <row r="6814" spans="1:1" x14ac:dyDescent="0.2">
      <c r="A6814" s="366"/>
    </row>
    <row r="6815" spans="1:1" x14ac:dyDescent="0.2">
      <c r="A6815" s="366"/>
    </row>
    <row r="6816" spans="1:1" x14ac:dyDescent="0.2">
      <c r="A6816" s="366"/>
    </row>
    <row r="6817" spans="1:1" x14ac:dyDescent="0.2">
      <c r="A6817" s="366"/>
    </row>
    <row r="6818" spans="1:1" x14ac:dyDescent="0.2">
      <c r="A6818" s="366"/>
    </row>
    <row r="6819" spans="1:1" x14ac:dyDescent="0.2">
      <c r="A6819" s="366"/>
    </row>
    <row r="6820" spans="1:1" x14ac:dyDescent="0.2">
      <c r="A6820" s="366"/>
    </row>
    <row r="6821" spans="1:1" x14ac:dyDescent="0.2">
      <c r="A6821" s="366"/>
    </row>
    <row r="6822" spans="1:1" x14ac:dyDescent="0.2">
      <c r="A6822" s="366"/>
    </row>
    <row r="6823" spans="1:1" x14ac:dyDescent="0.2">
      <c r="A6823" s="366"/>
    </row>
    <row r="6824" spans="1:1" x14ac:dyDescent="0.2">
      <c r="A6824" s="366"/>
    </row>
    <row r="6825" spans="1:1" x14ac:dyDescent="0.2">
      <c r="A6825" s="366"/>
    </row>
    <row r="6826" spans="1:1" x14ac:dyDescent="0.2">
      <c r="A6826" s="366"/>
    </row>
    <row r="6827" spans="1:1" x14ac:dyDescent="0.2">
      <c r="A6827" s="366"/>
    </row>
    <row r="6828" spans="1:1" x14ac:dyDescent="0.2">
      <c r="A6828" s="366"/>
    </row>
    <row r="6829" spans="1:1" x14ac:dyDescent="0.2">
      <c r="A6829" s="366"/>
    </row>
    <row r="6830" spans="1:1" x14ac:dyDescent="0.2">
      <c r="A6830" s="366"/>
    </row>
    <row r="6831" spans="1:1" x14ac:dyDescent="0.2">
      <c r="A6831" s="366"/>
    </row>
    <row r="6832" spans="1:1" x14ac:dyDescent="0.2">
      <c r="A6832" s="366"/>
    </row>
    <row r="6833" spans="1:1" x14ac:dyDescent="0.2">
      <c r="A6833" s="366"/>
    </row>
    <row r="6834" spans="1:1" x14ac:dyDescent="0.2">
      <c r="A6834" s="366"/>
    </row>
    <row r="6835" spans="1:1" x14ac:dyDescent="0.2">
      <c r="A6835" s="366"/>
    </row>
    <row r="6836" spans="1:1" x14ac:dyDescent="0.2">
      <c r="A6836" s="366"/>
    </row>
    <row r="6837" spans="1:1" x14ac:dyDescent="0.2">
      <c r="A6837" s="366"/>
    </row>
    <row r="6838" spans="1:1" x14ac:dyDescent="0.2">
      <c r="A6838" s="366"/>
    </row>
    <row r="6839" spans="1:1" x14ac:dyDescent="0.2">
      <c r="A6839" s="366"/>
    </row>
    <row r="6840" spans="1:1" x14ac:dyDescent="0.2">
      <c r="A6840" s="366"/>
    </row>
    <row r="6841" spans="1:1" x14ac:dyDescent="0.2">
      <c r="A6841" s="366"/>
    </row>
    <row r="6842" spans="1:1" x14ac:dyDescent="0.2">
      <c r="A6842" s="366"/>
    </row>
    <row r="6843" spans="1:1" x14ac:dyDescent="0.2">
      <c r="A6843" s="366"/>
    </row>
    <row r="6844" spans="1:1" x14ac:dyDescent="0.2">
      <c r="A6844" s="366"/>
    </row>
    <row r="6845" spans="1:1" x14ac:dyDescent="0.2">
      <c r="A6845" s="366"/>
    </row>
    <row r="6846" spans="1:1" x14ac:dyDescent="0.2">
      <c r="A6846" s="366"/>
    </row>
    <row r="6847" spans="1:1" x14ac:dyDescent="0.2">
      <c r="A6847" s="366"/>
    </row>
    <row r="6848" spans="1:1" x14ac:dyDescent="0.2">
      <c r="A6848" s="366"/>
    </row>
    <row r="6849" spans="1:1" x14ac:dyDescent="0.2">
      <c r="A6849" s="366"/>
    </row>
    <row r="6850" spans="1:1" x14ac:dyDescent="0.2">
      <c r="A6850" s="366"/>
    </row>
    <row r="6851" spans="1:1" x14ac:dyDescent="0.2">
      <c r="A6851" s="366"/>
    </row>
    <row r="6852" spans="1:1" x14ac:dyDescent="0.2">
      <c r="A6852" s="366"/>
    </row>
    <row r="6853" spans="1:1" x14ac:dyDescent="0.2">
      <c r="A6853" s="366"/>
    </row>
    <row r="6854" spans="1:1" x14ac:dyDescent="0.2">
      <c r="A6854" s="366"/>
    </row>
    <row r="6855" spans="1:1" x14ac:dyDescent="0.2">
      <c r="A6855" s="366"/>
    </row>
    <row r="6856" spans="1:1" x14ac:dyDescent="0.2">
      <c r="A6856" s="366"/>
    </row>
    <row r="6857" spans="1:1" x14ac:dyDescent="0.2">
      <c r="A6857" s="366"/>
    </row>
    <row r="6858" spans="1:1" x14ac:dyDescent="0.2">
      <c r="A6858" s="366"/>
    </row>
    <row r="6859" spans="1:1" x14ac:dyDescent="0.2">
      <c r="A6859" s="366"/>
    </row>
    <row r="6860" spans="1:1" x14ac:dyDescent="0.2">
      <c r="A6860" s="366"/>
    </row>
    <row r="6861" spans="1:1" x14ac:dyDescent="0.2">
      <c r="A6861" s="366"/>
    </row>
    <row r="6862" spans="1:1" x14ac:dyDescent="0.2">
      <c r="A6862" s="366"/>
    </row>
    <row r="6863" spans="1:1" x14ac:dyDescent="0.2">
      <c r="A6863" s="366"/>
    </row>
    <row r="6864" spans="1:1" x14ac:dyDescent="0.2">
      <c r="A6864" s="366"/>
    </row>
    <row r="6865" spans="1:1" x14ac:dyDescent="0.2">
      <c r="A6865" s="366"/>
    </row>
    <row r="6866" spans="1:1" x14ac:dyDescent="0.2">
      <c r="A6866" s="366"/>
    </row>
    <row r="6867" spans="1:1" x14ac:dyDescent="0.2">
      <c r="A6867" s="366"/>
    </row>
    <row r="6868" spans="1:1" x14ac:dyDescent="0.2">
      <c r="A6868" s="366"/>
    </row>
    <row r="6869" spans="1:1" x14ac:dyDescent="0.2">
      <c r="A6869" s="366"/>
    </row>
    <row r="6870" spans="1:1" x14ac:dyDescent="0.2">
      <c r="A6870" s="366"/>
    </row>
    <row r="6871" spans="1:1" x14ac:dyDescent="0.2">
      <c r="A6871" s="366"/>
    </row>
    <row r="6872" spans="1:1" x14ac:dyDescent="0.2">
      <c r="A6872" s="366"/>
    </row>
    <row r="6873" spans="1:1" x14ac:dyDescent="0.2">
      <c r="A6873" s="366"/>
    </row>
    <row r="6874" spans="1:1" x14ac:dyDescent="0.2">
      <c r="A6874" s="366"/>
    </row>
    <row r="6875" spans="1:1" x14ac:dyDescent="0.2">
      <c r="A6875" s="366"/>
    </row>
    <row r="6876" spans="1:1" x14ac:dyDescent="0.2">
      <c r="A6876" s="366"/>
    </row>
    <row r="6877" spans="1:1" x14ac:dyDescent="0.2">
      <c r="A6877" s="366"/>
    </row>
    <row r="6878" spans="1:1" x14ac:dyDescent="0.2">
      <c r="A6878" s="366"/>
    </row>
    <row r="6879" spans="1:1" x14ac:dyDescent="0.2">
      <c r="A6879" s="366"/>
    </row>
    <row r="6880" spans="1:1" x14ac:dyDescent="0.2">
      <c r="A6880" s="366"/>
    </row>
    <row r="6881" spans="1:1" x14ac:dyDescent="0.2">
      <c r="A6881" s="366"/>
    </row>
    <row r="6882" spans="1:1" x14ac:dyDescent="0.2">
      <c r="A6882" s="366"/>
    </row>
    <row r="6883" spans="1:1" x14ac:dyDescent="0.2">
      <c r="A6883" s="366"/>
    </row>
    <row r="6884" spans="1:1" x14ac:dyDescent="0.2">
      <c r="A6884" s="366"/>
    </row>
    <row r="6885" spans="1:1" x14ac:dyDescent="0.2">
      <c r="A6885" s="366"/>
    </row>
    <row r="6886" spans="1:1" x14ac:dyDescent="0.2">
      <c r="A6886" s="366"/>
    </row>
    <row r="6887" spans="1:1" x14ac:dyDescent="0.2">
      <c r="A6887" s="366"/>
    </row>
    <row r="6888" spans="1:1" x14ac:dyDescent="0.2">
      <c r="A6888" s="366"/>
    </row>
    <row r="6889" spans="1:1" x14ac:dyDescent="0.2">
      <c r="A6889" s="366"/>
    </row>
    <row r="6890" spans="1:1" x14ac:dyDescent="0.2">
      <c r="A6890" s="366"/>
    </row>
    <row r="6891" spans="1:1" x14ac:dyDescent="0.2">
      <c r="A6891" s="366"/>
    </row>
    <row r="6892" spans="1:1" x14ac:dyDescent="0.2">
      <c r="A6892" s="366"/>
    </row>
    <row r="6893" spans="1:1" x14ac:dyDescent="0.2">
      <c r="A6893" s="366"/>
    </row>
    <row r="6894" spans="1:1" x14ac:dyDescent="0.2">
      <c r="A6894" s="366"/>
    </row>
    <row r="6895" spans="1:1" x14ac:dyDescent="0.2">
      <c r="A6895" s="366"/>
    </row>
    <row r="6896" spans="1:1" x14ac:dyDescent="0.2">
      <c r="A6896" s="366"/>
    </row>
    <row r="6897" spans="1:1" x14ac:dyDescent="0.2">
      <c r="A6897" s="366"/>
    </row>
    <row r="6898" spans="1:1" x14ac:dyDescent="0.2">
      <c r="A6898" s="366"/>
    </row>
    <row r="6899" spans="1:1" x14ac:dyDescent="0.2">
      <c r="A6899" s="366"/>
    </row>
    <row r="6900" spans="1:1" x14ac:dyDescent="0.2">
      <c r="A6900" s="366"/>
    </row>
    <row r="6901" spans="1:1" x14ac:dyDescent="0.2">
      <c r="A6901" s="366"/>
    </row>
    <row r="6902" spans="1:1" x14ac:dyDescent="0.2">
      <c r="A6902" s="366"/>
    </row>
    <row r="6903" spans="1:1" x14ac:dyDescent="0.2">
      <c r="A6903" s="366"/>
    </row>
    <row r="6904" spans="1:1" x14ac:dyDescent="0.2">
      <c r="A6904" s="366"/>
    </row>
    <row r="6905" spans="1:1" x14ac:dyDescent="0.2">
      <c r="A6905" s="366"/>
    </row>
    <row r="6906" spans="1:1" x14ac:dyDescent="0.2">
      <c r="A6906" s="366"/>
    </row>
    <row r="6907" spans="1:1" x14ac:dyDescent="0.2">
      <c r="A6907" s="366"/>
    </row>
    <row r="6908" spans="1:1" x14ac:dyDescent="0.2">
      <c r="A6908" s="366"/>
    </row>
    <row r="6909" spans="1:1" x14ac:dyDescent="0.2">
      <c r="A6909" s="366"/>
    </row>
    <row r="6910" spans="1:1" x14ac:dyDescent="0.2">
      <c r="A6910" s="366"/>
    </row>
    <row r="6911" spans="1:1" x14ac:dyDescent="0.2">
      <c r="A6911" s="366"/>
    </row>
    <row r="6912" spans="1:1" x14ac:dyDescent="0.2">
      <c r="A6912" s="366"/>
    </row>
    <row r="6913" spans="1:1" x14ac:dyDescent="0.2">
      <c r="A6913" s="366"/>
    </row>
    <row r="6914" spans="1:1" x14ac:dyDescent="0.2">
      <c r="A6914" s="366"/>
    </row>
    <row r="6915" spans="1:1" x14ac:dyDescent="0.2">
      <c r="A6915" s="366"/>
    </row>
    <row r="6916" spans="1:1" x14ac:dyDescent="0.2">
      <c r="A6916" s="366"/>
    </row>
    <row r="6917" spans="1:1" x14ac:dyDescent="0.2">
      <c r="A6917" s="366"/>
    </row>
    <row r="6918" spans="1:1" x14ac:dyDescent="0.2">
      <c r="A6918" s="366"/>
    </row>
    <row r="6919" spans="1:1" x14ac:dyDescent="0.2">
      <c r="A6919" s="366"/>
    </row>
    <row r="6920" spans="1:1" x14ac:dyDescent="0.2">
      <c r="A6920" s="366"/>
    </row>
    <row r="6921" spans="1:1" x14ac:dyDescent="0.2">
      <c r="A6921" s="366"/>
    </row>
    <row r="6922" spans="1:1" x14ac:dyDescent="0.2">
      <c r="A6922" s="366"/>
    </row>
    <row r="6923" spans="1:1" x14ac:dyDescent="0.2">
      <c r="A6923" s="366"/>
    </row>
    <row r="6924" spans="1:1" x14ac:dyDescent="0.2">
      <c r="A6924" s="366"/>
    </row>
    <row r="6925" spans="1:1" x14ac:dyDescent="0.2">
      <c r="A6925" s="366"/>
    </row>
    <row r="6926" spans="1:1" x14ac:dyDescent="0.2">
      <c r="A6926" s="366"/>
    </row>
    <row r="6927" spans="1:1" x14ac:dyDescent="0.2">
      <c r="A6927" s="366"/>
    </row>
    <row r="6928" spans="1:1" x14ac:dyDescent="0.2">
      <c r="A6928" s="366"/>
    </row>
    <row r="6929" spans="1:1" x14ac:dyDescent="0.2">
      <c r="A6929" s="366"/>
    </row>
    <row r="6930" spans="1:1" x14ac:dyDescent="0.2">
      <c r="A6930" s="366"/>
    </row>
    <row r="6931" spans="1:1" x14ac:dyDescent="0.2">
      <c r="A6931" s="366"/>
    </row>
    <row r="6932" spans="1:1" x14ac:dyDescent="0.2">
      <c r="A6932" s="366"/>
    </row>
    <row r="6933" spans="1:1" x14ac:dyDescent="0.2">
      <c r="A6933" s="366"/>
    </row>
    <row r="6934" spans="1:1" x14ac:dyDescent="0.2">
      <c r="A6934" s="366"/>
    </row>
    <row r="6935" spans="1:1" x14ac:dyDescent="0.2">
      <c r="A6935" s="366"/>
    </row>
    <row r="6936" spans="1:1" x14ac:dyDescent="0.2">
      <c r="A6936" s="366"/>
    </row>
    <row r="6937" spans="1:1" x14ac:dyDescent="0.2">
      <c r="A6937" s="366"/>
    </row>
    <row r="6938" spans="1:1" x14ac:dyDescent="0.2">
      <c r="A6938" s="366"/>
    </row>
    <row r="6939" spans="1:1" x14ac:dyDescent="0.2">
      <c r="A6939" s="366"/>
    </row>
    <row r="6940" spans="1:1" x14ac:dyDescent="0.2">
      <c r="A6940" s="366"/>
    </row>
    <row r="6941" spans="1:1" x14ac:dyDescent="0.2">
      <c r="A6941" s="366"/>
    </row>
    <row r="6942" spans="1:1" x14ac:dyDescent="0.2">
      <c r="A6942" s="366"/>
    </row>
    <row r="6943" spans="1:1" x14ac:dyDescent="0.2">
      <c r="A6943" s="366"/>
    </row>
    <row r="6944" spans="1:1" x14ac:dyDescent="0.2">
      <c r="A6944" s="366"/>
    </row>
    <row r="6945" spans="1:1" x14ac:dyDescent="0.2">
      <c r="A6945" s="366"/>
    </row>
    <row r="6946" spans="1:1" x14ac:dyDescent="0.2">
      <c r="A6946" s="366"/>
    </row>
    <row r="6947" spans="1:1" x14ac:dyDescent="0.2">
      <c r="A6947" s="366"/>
    </row>
    <row r="6948" spans="1:1" x14ac:dyDescent="0.2">
      <c r="A6948" s="366"/>
    </row>
    <row r="6949" spans="1:1" x14ac:dyDescent="0.2">
      <c r="A6949" s="366"/>
    </row>
    <row r="6950" spans="1:1" x14ac:dyDescent="0.2">
      <c r="A6950" s="366"/>
    </row>
    <row r="6951" spans="1:1" x14ac:dyDescent="0.2">
      <c r="A6951" s="366"/>
    </row>
    <row r="6952" spans="1:1" x14ac:dyDescent="0.2">
      <c r="A6952" s="366"/>
    </row>
    <row r="6953" spans="1:1" x14ac:dyDescent="0.2">
      <c r="A6953" s="366"/>
    </row>
    <row r="6954" spans="1:1" x14ac:dyDescent="0.2">
      <c r="A6954" s="366"/>
    </row>
    <row r="6955" spans="1:1" x14ac:dyDescent="0.2">
      <c r="A6955" s="366"/>
    </row>
    <row r="6956" spans="1:1" x14ac:dyDescent="0.2">
      <c r="A6956" s="366"/>
    </row>
    <row r="6957" spans="1:1" x14ac:dyDescent="0.2">
      <c r="A6957" s="366"/>
    </row>
    <row r="6958" spans="1:1" x14ac:dyDescent="0.2">
      <c r="A6958" s="366"/>
    </row>
    <row r="6959" spans="1:1" x14ac:dyDescent="0.2">
      <c r="A6959" s="366"/>
    </row>
    <row r="6960" spans="1:1" x14ac:dyDescent="0.2">
      <c r="A6960" s="366"/>
    </row>
    <row r="6961" spans="1:1" x14ac:dyDescent="0.2">
      <c r="A6961" s="366"/>
    </row>
    <row r="6962" spans="1:1" x14ac:dyDescent="0.2">
      <c r="A6962" s="366"/>
    </row>
    <row r="6963" spans="1:1" x14ac:dyDescent="0.2">
      <c r="A6963" s="366"/>
    </row>
    <row r="6964" spans="1:1" x14ac:dyDescent="0.2">
      <c r="A6964" s="366"/>
    </row>
    <row r="6965" spans="1:1" x14ac:dyDescent="0.2">
      <c r="A6965" s="366"/>
    </row>
    <row r="6966" spans="1:1" x14ac:dyDescent="0.2">
      <c r="A6966" s="366"/>
    </row>
    <row r="6967" spans="1:1" x14ac:dyDescent="0.2">
      <c r="A6967" s="366"/>
    </row>
    <row r="6968" spans="1:1" x14ac:dyDescent="0.2">
      <c r="A6968" s="366"/>
    </row>
    <row r="6969" spans="1:1" x14ac:dyDescent="0.2">
      <c r="A6969" s="366"/>
    </row>
    <row r="6970" spans="1:1" x14ac:dyDescent="0.2">
      <c r="A6970" s="366"/>
    </row>
    <row r="6971" spans="1:1" x14ac:dyDescent="0.2">
      <c r="A6971" s="366"/>
    </row>
    <row r="6972" spans="1:1" x14ac:dyDescent="0.2">
      <c r="A6972" s="366"/>
    </row>
    <row r="6973" spans="1:1" x14ac:dyDescent="0.2">
      <c r="A6973" s="366"/>
    </row>
    <row r="6974" spans="1:1" x14ac:dyDescent="0.2">
      <c r="A6974" s="366"/>
    </row>
    <row r="6975" spans="1:1" x14ac:dyDescent="0.2">
      <c r="A6975" s="366"/>
    </row>
    <row r="6976" spans="1:1" x14ac:dyDescent="0.2">
      <c r="A6976" s="366"/>
    </row>
    <row r="6977" spans="1:1" x14ac:dyDescent="0.2">
      <c r="A6977" s="366"/>
    </row>
    <row r="6978" spans="1:1" x14ac:dyDescent="0.2">
      <c r="A6978" s="366"/>
    </row>
    <row r="6979" spans="1:1" x14ac:dyDescent="0.2">
      <c r="A6979" s="366"/>
    </row>
    <row r="6980" spans="1:1" x14ac:dyDescent="0.2">
      <c r="A6980" s="366"/>
    </row>
    <row r="6981" spans="1:1" x14ac:dyDescent="0.2">
      <c r="A6981" s="366"/>
    </row>
    <row r="6982" spans="1:1" x14ac:dyDescent="0.2">
      <c r="A6982" s="366"/>
    </row>
    <row r="6983" spans="1:1" x14ac:dyDescent="0.2">
      <c r="A6983" s="366"/>
    </row>
    <row r="6984" spans="1:1" x14ac:dyDescent="0.2">
      <c r="A6984" s="366"/>
    </row>
    <row r="6985" spans="1:1" x14ac:dyDescent="0.2">
      <c r="A6985" s="366"/>
    </row>
    <row r="6986" spans="1:1" x14ac:dyDescent="0.2">
      <c r="A6986" s="366"/>
    </row>
    <row r="6987" spans="1:1" x14ac:dyDescent="0.2">
      <c r="A6987" s="366"/>
    </row>
    <row r="6988" spans="1:1" x14ac:dyDescent="0.2">
      <c r="A6988" s="366"/>
    </row>
    <row r="6989" spans="1:1" x14ac:dyDescent="0.2">
      <c r="A6989" s="366"/>
    </row>
    <row r="6990" spans="1:1" x14ac:dyDescent="0.2">
      <c r="A6990" s="366"/>
    </row>
    <row r="6991" spans="1:1" x14ac:dyDescent="0.2">
      <c r="A6991" s="366"/>
    </row>
    <row r="6992" spans="1:1" x14ac:dyDescent="0.2">
      <c r="A6992" s="366"/>
    </row>
    <row r="6993" spans="1:1" x14ac:dyDescent="0.2">
      <c r="A6993" s="366"/>
    </row>
    <row r="6994" spans="1:1" x14ac:dyDescent="0.2">
      <c r="A6994" s="366"/>
    </row>
    <row r="6995" spans="1:1" x14ac:dyDescent="0.2">
      <c r="A6995" s="366"/>
    </row>
    <row r="6996" spans="1:1" x14ac:dyDescent="0.2">
      <c r="A6996" s="366"/>
    </row>
    <row r="6997" spans="1:1" x14ac:dyDescent="0.2">
      <c r="A6997" s="366"/>
    </row>
    <row r="6998" spans="1:1" x14ac:dyDescent="0.2">
      <c r="A6998" s="366"/>
    </row>
    <row r="6999" spans="1:1" x14ac:dyDescent="0.2">
      <c r="A6999" s="366"/>
    </row>
    <row r="7000" spans="1:1" x14ac:dyDescent="0.2">
      <c r="A7000" s="366"/>
    </row>
    <row r="7001" spans="1:1" x14ac:dyDescent="0.2">
      <c r="A7001" s="366"/>
    </row>
    <row r="7002" spans="1:1" x14ac:dyDescent="0.2">
      <c r="A7002" s="366"/>
    </row>
    <row r="7003" spans="1:1" x14ac:dyDescent="0.2">
      <c r="A7003" s="366"/>
    </row>
    <row r="7004" spans="1:1" x14ac:dyDescent="0.2">
      <c r="A7004" s="366"/>
    </row>
    <row r="7005" spans="1:1" x14ac:dyDescent="0.2">
      <c r="A7005" s="366"/>
    </row>
    <row r="7006" spans="1:1" x14ac:dyDescent="0.2">
      <c r="A7006" s="366"/>
    </row>
    <row r="7007" spans="1:1" x14ac:dyDescent="0.2">
      <c r="A7007" s="366"/>
    </row>
    <row r="7008" spans="1:1" x14ac:dyDescent="0.2">
      <c r="A7008" s="366"/>
    </row>
    <row r="7009" spans="1:1" x14ac:dyDescent="0.2">
      <c r="A7009" s="366"/>
    </row>
    <row r="7010" spans="1:1" x14ac:dyDescent="0.2">
      <c r="A7010" s="366"/>
    </row>
    <row r="7011" spans="1:1" x14ac:dyDescent="0.2">
      <c r="A7011" s="366"/>
    </row>
    <row r="7012" spans="1:1" x14ac:dyDescent="0.2">
      <c r="A7012" s="366"/>
    </row>
    <row r="7013" spans="1:1" x14ac:dyDescent="0.2">
      <c r="A7013" s="366"/>
    </row>
    <row r="7014" spans="1:1" x14ac:dyDescent="0.2">
      <c r="A7014" s="366"/>
    </row>
    <row r="7015" spans="1:1" x14ac:dyDescent="0.2">
      <c r="A7015" s="366"/>
    </row>
    <row r="7016" spans="1:1" x14ac:dyDescent="0.2">
      <c r="A7016" s="366"/>
    </row>
    <row r="7017" spans="1:1" x14ac:dyDescent="0.2">
      <c r="A7017" s="366"/>
    </row>
    <row r="7018" spans="1:1" x14ac:dyDescent="0.2">
      <c r="A7018" s="366"/>
    </row>
    <row r="7019" spans="1:1" x14ac:dyDescent="0.2">
      <c r="A7019" s="366"/>
    </row>
    <row r="7020" spans="1:1" x14ac:dyDescent="0.2">
      <c r="A7020" s="366"/>
    </row>
    <row r="7021" spans="1:1" x14ac:dyDescent="0.2">
      <c r="A7021" s="366"/>
    </row>
    <row r="7022" spans="1:1" x14ac:dyDescent="0.2">
      <c r="A7022" s="366"/>
    </row>
    <row r="7023" spans="1:1" x14ac:dyDescent="0.2">
      <c r="A7023" s="366"/>
    </row>
    <row r="7024" spans="1:1" x14ac:dyDescent="0.2">
      <c r="A7024" s="366"/>
    </row>
    <row r="7025" spans="1:1" x14ac:dyDescent="0.2">
      <c r="A7025" s="366"/>
    </row>
    <row r="7026" spans="1:1" x14ac:dyDescent="0.2">
      <c r="A7026" s="366"/>
    </row>
    <row r="7027" spans="1:1" x14ac:dyDescent="0.2">
      <c r="A7027" s="366"/>
    </row>
    <row r="7028" spans="1:1" x14ac:dyDescent="0.2">
      <c r="A7028" s="366"/>
    </row>
    <row r="7029" spans="1:1" x14ac:dyDescent="0.2">
      <c r="A7029" s="366"/>
    </row>
    <row r="7030" spans="1:1" x14ac:dyDescent="0.2">
      <c r="A7030" s="366"/>
    </row>
    <row r="7031" spans="1:1" x14ac:dyDescent="0.2">
      <c r="A7031" s="366"/>
    </row>
    <row r="7032" spans="1:1" x14ac:dyDescent="0.2">
      <c r="A7032" s="366"/>
    </row>
    <row r="7033" spans="1:1" x14ac:dyDescent="0.2">
      <c r="A7033" s="366"/>
    </row>
    <row r="7034" spans="1:1" x14ac:dyDescent="0.2">
      <c r="A7034" s="366"/>
    </row>
    <row r="7035" spans="1:1" x14ac:dyDescent="0.2">
      <c r="A7035" s="366"/>
    </row>
    <row r="7036" spans="1:1" x14ac:dyDescent="0.2">
      <c r="A7036" s="366"/>
    </row>
    <row r="7037" spans="1:1" x14ac:dyDescent="0.2">
      <c r="A7037" s="366"/>
    </row>
    <row r="7038" spans="1:1" x14ac:dyDescent="0.2">
      <c r="A7038" s="366"/>
    </row>
    <row r="7039" spans="1:1" x14ac:dyDescent="0.2">
      <c r="A7039" s="366"/>
    </row>
    <row r="7040" spans="1:1" x14ac:dyDescent="0.2">
      <c r="A7040" s="366"/>
    </row>
    <row r="7041" spans="1:1" x14ac:dyDescent="0.2">
      <c r="A7041" s="366"/>
    </row>
    <row r="7042" spans="1:1" x14ac:dyDescent="0.2">
      <c r="A7042" s="366"/>
    </row>
    <row r="7043" spans="1:1" x14ac:dyDescent="0.2">
      <c r="A7043" s="366"/>
    </row>
    <row r="7044" spans="1:1" x14ac:dyDescent="0.2">
      <c r="A7044" s="366"/>
    </row>
    <row r="7045" spans="1:1" x14ac:dyDescent="0.2">
      <c r="A7045" s="366"/>
    </row>
    <row r="7046" spans="1:1" x14ac:dyDescent="0.2">
      <c r="A7046" s="366"/>
    </row>
    <row r="7047" spans="1:1" x14ac:dyDescent="0.2">
      <c r="A7047" s="366"/>
    </row>
    <row r="7048" spans="1:1" x14ac:dyDescent="0.2">
      <c r="A7048" s="366"/>
    </row>
    <row r="7049" spans="1:1" x14ac:dyDescent="0.2">
      <c r="A7049" s="366"/>
    </row>
    <row r="7050" spans="1:1" x14ac:dyDescent="0.2">
      <c r="A7050" s="366"/>
    </row>
    <row r="7051" spans="1:1" x14ac:dyDescent="0.2">
      <c r="A7051" s="366"/>
    </row>
    <row r="7052" spans="1:1" x14ac:dyDescent="0.2">
      <c r="A7052" s="366"/>
    </row>
    <row r="7053" spans="1:1" x14ac:dyDescent="0.2">
      <c r="A7053" s="366"/>
    </row>
    <row r="7054" spans="1:1" x14ac:dyDescent="0.2">
      <c r="A7054" s="366"/>
    </row>
    <row r="7055" spans="1:1" x14ac:dyDescent="0.2">
      <c r="A7055" s="366"/>
    </row>
    <row r="7056" spans="1:1" x14ac:dyDescent="0.2">
      <c r="A7056" s="366"/>
    </row>
    <row r="7057" spans="1:1" x14ac:dyDescent="0.2">
      <c r="A7057" s="366"/>
    </row>
    <row r="7058" spans="1:1" x14ac:dyDescent="0.2">
      <c r="A7058" s="366"/>
    </row>
    <row r="7059" spans="1:1" x14ac:dyDescent="0.2">
      <c r="A7059" s="366"/>
    </row>
    <row r="7060" spans="1:1" x14ac:dyDescent="0.2">
      <c r="A7060" s="366"/>
    </row>
    <row r="7061" spans="1:1" x14ac:dyDescent="0.2">
      <c r="A7061" s="366"/>
    </row>
    <row r="7062" spans="1:1" x14ac:dyDescent="0.2">
      <c r="A7062" s="366"/>
    </row>
    <row r="7063" spans="1:1" x14ac:dyDescent="0.2">
      <c r="A7063" s="366"/>
    </row>
    <row r="7064" spans="1:1" x14ac:dyDescent="0.2">
      <c r="A7064" s="366"/>
    </row>
    <row r="7065" spans="1:1" x14ac:dyDescent="0.2">
      <c r="A7065" s="366"/>
    </row>
    <row r="7066" spans="1:1" x14ac:dyDescent="0.2">
      <c r="A7066" s="366"/>
    </row>
    <row r="7067" spans="1:1" x14ac:dyDescent="0.2">
      <c r="A7067" s="366"/>
    </row>
    <row r="7068" spans="1:1" x14ac:dyDescent="0.2">
      <c r="A7068" s="366"/>
    </row>
    <row r="7069" spans="1:1" x14ac:dyDescent="0.2">
      <c r="A7069" s="366"/>
    </row>
    <row r="7070" spans="1:1" x14ac:dyDescent="0.2">
      <c r="A7070" s="366"/>
    </row>
    <row r="7071" spans="1:1" x14ac:dyDescent="0.2">
      <c r="A7071" s="366"/>
    </row>
    <row r="7072" spans="1:1" x14ac:dyDescent="0.2">
      <c r="A7072" s="366"/>
    </row>
    <row r="7073" spans="1:1" x14ac:dyDescent="0.2">
      <c r="A7073" s="366"/>
    </row>
    <row r="7074" spans="1:1" x14ac:dyDescent="0.2">
      <c r="A7074" s="366"/>
    </row>
    <row r="7075" spans="1:1" x14ac:dyDescent="0.2">
      <c r="A7075" s="366"/>
    </row>
    <row r="7076" spans="1:1" x14ac:dyDescent="0.2">
      <c r="A7076" s="366"/>
    </row>
    <row r="7077" spans="1:1" x14ac:dyDescent="0.2">
      <c r="A7077" s="366"/>
    </row>
    <row r="7078" spans="1:1" x14ac:dyDescent="0.2">
      <c r="A7078" s="366"/>
    </row>
    <row r="7079" spans="1:1" x14ac:dyDescent="0.2">
      <c r="A7079" s="366"/>
    </row>
    <row r="7080" spans="1:1" x14ac:dyDescent="0.2">
      <c r="A7080" s="366"/>
    </row>
    <row r="7081" spans="1:1" x14ac:dyDescent="0.2">
      <c r="A7081" s="366"/>
    </row>
    <row r="7082" spans="1:1" x14ac:dyDescent="0.2">
      <c r="A7082" s="366"/>
    </row>
    <row r="7083" spans="1:1" x14ac:dyDescent="0.2">
      <c r="A7083" s="366"/>
    </row>
    <row r="7084" spans="1:1" x14ac:dyDescent="0.2">
      <c r="A7084" s="366"/>
    </row>
    <row r="7085" spans="1:1" x14ac:dyDescent="0.2">
      <c r="A7085" s="366"/>
    </row>
    <row r="7086" spans="1:1" x14ac:dyDescent="0.2">
      <c r="A7086" s="366"/>
    </row>
    <row r="7087" spans="1:1" x14ac:dyDescent="0.2">
      <c r="A7087" s="366"/>
    </row>
    <row r="7088" spans="1:1" x14ac:dyDescent="0.2">
      <c r="A7088" s="366"/>
    </row>
    <row r="7089" spans="1:1" x14ac:dyDescent="0.2">
      <c r="A7089" s="366"/>
    </row>
    <row r="7090" spans="1:1" x14ac:dyDescent="0.2">
      <c r="A7090" s="366"/>
    </row>
    <row r="7091" spans="1:1" x14ac:dyDescent="0.2">
      <c r="A7091" s="366"/>
    </row>
    <row r="7092" spans="1:1" x14ac:dyDescent="0.2">
      <c r="A7092" s="366"/>
    </row>
    <row r="7093" spans="1:1" x14ac:dyDescent="0.2">
      <c r="A7093" s="366"/>
    </row>
    <row r="7094" spans="1:1" x14ac:dyDescent="0.2">
      <c r="A7094" s="366"/>
    </row>
    <row r="7095" spans="1:1" x14ac:dyDescent="0.2">
      <c r="A7095" s="366"/>
    </row>
    <row r="7096" spans="1:1" x14ac:dyDescent="0.2">
      <c r="A7096" s="366"/>
    </row>
    <row r="7097" spans="1:1" x14ac:dyDescent="0.2">
      <c r="A7097" s="366"/>
    </row>
    <row r="7098" spans="1:1" x14ac:dyDescent="0.2">
      <c r="A7098" s="366"/>
    </row>
    <row r="7099" spans="1:1" x14ac:dyDescent="0.2">
      <c r="A7099" s="366"/>
    </row>
    <row r="7100" spans="1:1" x14ac:dyDescent="0.2">
      <c r="A7100" s="366"/>
    </row>
    <row r="7101" spans="1:1" x14ac:dyDescent="0.2">
      <c r="A7101" s="366"/>
    </row>
    <row r="7102" spans="1:1" x14ac:dyDescent="0.2">
      <c r="A7102" s="366"/>
    </row>
    <row r="7103" spans="1:1" x14ac:dyDescent="0.2">
      <c r="A7103" s="366"/>
    </row>
    <row r="7104" spans="1:1" x14ac:dyDescent="0.2">
      <c r="A7104" s="366"/>
    </row>
    <row r="7105" spans="1:1" x14ac:dyDescent="0.2">
      <c r="A7105" s="366"/>
    </row>
    <row r="7106" spans="1:1" x14ac:dyDescent="0.2">
      <c r="A7106" s="366"/>
    </row>
    <row r="7107" spans="1:1" x14ac:dyDescent="0.2">
      <c r="A7107" s="366"/>
    </row>
    <row r="7108" spans="1:1" x14ac:dyDescent="0.2">
      <c r="A7108" s="366"/>
    </row>
    <row r="7109" spans="1:1" x14ac:dyDescent="0.2">
      <c r="A7109" s="366"/>
    </row>
    <row r="7110" spans="1:1" x14ac:dyDescent="0.2">
      <c r="A7110" s="366"/>
    </row>
    <row r="7111" spans="1:1" x14ac:dyDescent="0.2">
      <c r="A7111" s="366"/>
    </row>
    <row r="7112" spans="1:1" x14ac:dyDescent="0.2">
      <c r="A7112" s="366"/>
    </row>
    <row r="7113" spans="1:1" x14ac:dyDescent="0.2">
      <c r="A7113" s="366"/>
    </row>
    <row r="7114" spans="1:1" x14ac:dyDescent="0.2">
      <c r="A7114" s="366"/>
    </row>
    <row r="7115" spans="1:1" x14ac:dyDescent="0.2">
      <c r="A7115" s="366"/>
    </row>
    <row r="7116" spans="1:1" x14ac:dyDescent="0.2">
      <c r="A7116" s="366"/>
    </row>
    <row r="7117" spans="1:1" x14ac:dyDescent="0.2">
      <c r="A7117" s="366"/>
    </row>
    <row r="7118" spans="1:1" x14ac:dyDescent="0.2">
      <c r="A7118" s="366"/>
    </row>
    <row r="7119" spans="1:1" x14ac:dyDescent="0.2">
      <c r="A7119" s="366"/>
    </row>
    <row r="7120" spans="1:1" x14ac:dyDescent="0.2">
      <c r="A7120" s="366"/>
    </row>
    <row r="7121" spans="1:1" x14ac:dyDescent="0.2">
      <c r="A7121" s="366"/>
    </row>
    <row r="7122" spans="1:1" x14ac:dyDescent="0.2">
      <c r="A7122" s="366"/>
    </row>
    <row r="7123" spans="1:1" x14ac:dyDescent="0.2">
      <c r="A7123" s="366"/>
    </row>
    <row r="7124" spans="1:1" x14ac:dyDescent="0.2">
      <c r="A7124" s="366"/>
    </row>
    <row r="7125" spans="1:1" x14ac:dyDescent="0.2">
      <c r="A7125" s="366"/>
    </row>
    <row r="7126" spans="1:1" x14ac:dyDescent="0.2">
      <c r="A7126" s="366"/>
    </row>
    <row r="7127" spans="1:1" x14ac:dyDescent="0.2">
      <c r="A7127" s="366"/>
    </row>
    <row r="7128" spans="1:1" x14ac:dyDescent="0.2">
      <c r="A7128" s="366"/>
    </row>
    <row r="7129" spans="1:1" x14ac:dyDescent="0.2">
      <c r="A7129" s="366"/>
    </row>
    <row r="7130" spans="1:1" x14ac:dyDescent="0.2">
      <c r="A7130" s="366"/>
    </row>
    <row r="7131" spans="1:1" x14ac:dyDescent="0.2">
      <c r="A7131" s="366"/>
    </row>
    <row r="7132" spans="1:1" x14ac:dyDescent="0.2">
      <c r="A7132" s="366"/>
    </row>
    <row r="7133" spans="1:1" x14ac:dyDescent="0.2">
      <c r="A7133" s="366"/>
    </row>
    <row r="7134" spans="1:1" x14ac:dyDescent="0.2">
      <c r="A7134" s="366"/>
    </row>
    <row r="7135" spans="1:1" x14ac:dyDescent="0.2">
      <c r="A7135" s="366"/>
    </row>
    <row r="7136" spans="1:1" x14ac:dyDescent="0.2">
      <c r="A7136" s="366"/>
    </row>
    <row r="7137" spans="1:1" x14ac:dyDescent="0.2">
      <c r="A7137" s="366"/>
    </row>
    <row r="7138" spans="1:1" x14ac:dyDescent="0.2">
      <c r="A7138" s="366"/>
    </row>
    <row r="7139" spans="1:1" x14ac:dyDescent="0.2">
      <c r="A7139" s="366"/>
    </row>
    <row r="7140" spans="1:1" x14ac:dyDescent="0.2">
      <c r="A7140" s="366"/>
    </row>
    <row r="7141" spans="1:1" x14ac:dyDescent="0.2">
      <c r="A7141" s="366"/>
    </row>
    <row r="7142" spans="1:1" x14ac:dyDescent="0.2">
      <c r="A7142" s="366"/>
    </row>
    <row r="7143" spans="1:1" x14ac:dyDescent="0.2">
      <c r="A7143" s="366"/>
    </row>
    <row r="7144" spans="1:1" x14ac:dyDescent="0.2">
      <c r="A7144" s="366"/>
    </row>
    <row r="7145" spans="1:1" x14ac:dyDescent="0.2">
      <c r="A7145" s="366"/>
    </row>
    <row r="7146" spans="1:1" x14ac:dyDescent="0.2">
      <c r="A7146" s="366"/>
    </row>
    <row r="7147" spans="1:1" x14ac:dyDescent="0.2">
      <c r="A7147" s="366"/>
    </row>
    <row r="7148" spans="1:1" x14ac:dyDescent="0.2">
      <c r="A7148" s="366"/>
    </row>
    <row r="7149" spans="1:1" x14ac:dyDescent="0.2">
      <c r="A7149" s="366"/>
    </row>
    <row r="7150" spans="1:1" x14ac:dyDescent="0.2">
      <c r="A7150" s="366"/>
    </row>
    <row r="7151" spans="1:1" x14ac:dyDescent="0.2">
      <c r="A7151" s="366"/>
    </row>
    <row r="7152" spans="1:1" x14ac:dyDescent="0.2">
      <c r="A7152" s="366"/>
    </row>
    <row r="7153" spans="1:1" x14ac:dyDescent="0.2">
      <c r="A7153" s="366"/>
    </row>
    <row r="7154" spans="1:1" x14ac:dyDescent="0.2">
      <c r="A7154" s="366"/>
    </row>
    <row r="7155" spans="1:1" x14ac:dyDescent="0.2">
      <c r="A7155" s="366"/>
    </row>
    <row r="7156" spans="1:1" x14ac:dyDescent="0.2">
      <c r="A7156" s="366"/>
    </row>
    <row r="7157" spans="1:1" x14ac:dyDescent="0.2">
      <c r="A7157" s="366"/>
    </row>
    <row r="7158" spans="1:1" x14ac:dyDescent="0.2">
      <c r="A7158" s="366"/>
    </row>
    <row r="7159" spans="1:1" x14ac:dyDescent="0.2">
      <c r="A7159" s="366"/>
    </row>
    <row r="7160" spans="1:1" x14ac:dyDescent="0.2">
      <c r="A7160" s="366"/>
    </row>
    <row r="7161" spans="1:1" x14ac:dyDescent="0.2">
      <c r="A7161" s="366"/>
    </row>
    <row r="7162" spans="1:1" x14ac:dyDescent="0.2">
      <c r="A7162" s="366"/>
    </row>
    <row r="7163" spans="1:1" x14ac:dyDescent="0.2">
      <c r="A7163" s="366"/>
    </row>
    <row r="7164" spans="1:1" x14ac:dyDescent="0.2">
      <c r="A7164" s="366"/>
    </row>
    <row r="7165" spans="1:1" x14ac:dyDescent="0.2">
      <c r="A7165" s="366"/>
    </row>
    <row r="7166" spans="1:1" x14ac:dyDescent="0.2">
      <c r="A7166" s="366"/>
    </row>
    <row r="7167" spans="1:1" x14ac:dyDescent="0.2">
      <c r="A7167" s="366"/>
    </row>
    <row r="7168" spans="1:1" x14ac:dyDescent="0.2">
      <c r="A7168" s="366"/>
    </row>
    <row r="7169" spans="1:1" x14ac:dyDescent="0.2">
      <c r="A7169" s="366"/>
    </row>
    <row r="7170" spans="1:1" x14ac:dyDescent="0.2">
      <c r="A7170" s="366"/>
    </row>
    <row r="7171" spans="1:1" x14ac:dyDescent="0.2">
      <c r="A7171" s="366"/>
    </row>
    <row r="7172" spans="1:1" x14ac:dyDescent="0.2">
      <c r="A7172" s="366"/>
    </row>
    <row r="7173" spans="1:1" x14ac:dyDescent="0.2">
      <c r="A7173" s="366"/>
    </row>
    <row r="7174" spans="1:1" x14ac:dyDescent="0.2">
      <c r="A7174" s="366"/>
    </row>
    <row r="7175" spans="1:1" x14ac:dyDescent="0.2">
      <c r="A7175" s="366"/>
    </row>
    <row r="7176" spans="1:1" x14ac:dyDescent="0.2">
      <c r="A7176" s="366"/>
    </row>
    <row r="7177" spans="1:1" x14ac:dyDescent="0.2">
      <c r="A7177" s="366"/>
    </row>
    <row r="7178" spans="1:1" x14ac:dyDescent="0.2">
      <c r="A7178" s="366"/>
    </row>
    <row r="7179" spans="1:1" x14ac:dyDescent="0.2">
      <c r="A7179" s="366"/>
    </row>
    <row r="7180" spans="1:1" x14ac:dyDescent="0.2">
      <c r="A7180" s="366"/>
    </row>
    <row r="7181" spans="1:1" x14ac:dyDescent="0.2">
      <c r="A7181" s="366"/>
    </row>
    <row r="7182" spans="1:1" x14ac:dyDescent="0.2">
      <c r="A7182" s="366"/>
    </row>
    <row r="7183" spans="1:1" x14ac:dyDescent="0.2">
      <c r="A7183" s="366"/>
    </row>
    <row r="7184" spans="1:1" x14ac:dyDescent="0.2">
      <c r="A7184" s="366"/>
    </row>
    <row r="7185" spans="1:1" x14ac:dyDescent="0.2">
      <c r="A7185" s="366"/>
    </row>
    <row r="7186" spans="1:1" x14ac:dyDescent="0.2">
      <c r="A7186" s="366"/>
    </row>
    <row r="7187" spans="1:1" x14ac:dyDescent="0.2">
      <c r="A7187" s="366"/>
    </row>
    <row r="7188" spans="1:1" x14ac:dyDescent="0.2">
      <c r="A7188" s="366"/>
    </row>
    <row r="7189" spans="1:1" x14ac:dyDescent="0.2">
      <c r="A7189" s="366"/>
    </row>
    <row r="7190" spans="1:1" x14ac:dyDescent="0.2">
      <c r="A7190" s="366"/>
    </row>
    <row r="7191" spans="1:1" x14ac:dyDescent="0.2">
      <c r="A7191" s="366"/>
    </row>
    <row r="7192" spans="1:1" x14ac:dyDescent="0.2">
      <c r="A7192" s="366"/>
    </row>
    <row r="7193" spans="1:1" x14ac:dyDescent="0.2">
      <c r="A7193" s="366"/>
    </row>
    <row r="7194" spans="1:1" x14ac:dyDescent="0.2">
      <c r="A7194" s="366"/>
    </row>
    <row r="7195" spans="1:1" x14ac:dyDescent="0.2">
      <c r="A7195" s="366"/>
    </row>
    <row r="7196" spans="1:1" x14ac:dyDescent="0.2">
      <c r="A7196" s="366"/>
    </row>
    <row r="7197" spans="1:1" x14ac:dyDescent="0.2">
      <c r="A7197" s="366"/>
    </row>
    <row r="7198" spans="1:1" x14ac:dyDescent="0.2">
      <c r="A7198" s="366"/>
    </row>
    <row r="7199" spans="1:1" x14ac:dyDescent="0.2">
      <c r="A7199" s="366"/>
    </row>
    <row r="7200" spans="1:1" x14ac:dyDescent="0.2">
      <c r="A7200" s="366"/>
    </row>
    <row r="7201" spans="1:1" x14ac:dyDescent="0.2">
      <c r="A7201" s="366"/>
    </row>
    <row r="7202" spans="1:1" x14ac:dyDescent="0.2">
      <c r="A7202" s="366"/>
    </row>
    <row r="7203" spans="1:1" x14ac:dyDescent="0.2">
      <c r="A7203" s="366"/>
    </row>
    <row r="7204" spans="1:1" x14ac:dyDescent="0.2">
      <c r="A7204" s="366"/>
    </row>
    <row r="7205" spans="1:1" x14ac:dyDescent="0.2">
      <c r="A7205" s="366"/>
    </row>
    <row r="7206" spans="1:1" x14ac:dyDescent="0.2">
      <c r="A7206" s="366"/>
    </row>
    <row r="7207" spans="1:1" x14ac:dyDescent="0.2">
      <c r="A7207" s="366"/>
    </row>
    <row r="7208" spans="1:1" x14ac:dyDescent="0.2">
      <c r="A7208" s="366"/>
    </row>
    <row r="7209" spans="1:1" x14ac:dyDescent="0.2">
      <c r="A7209" s="366"/>
    </row>
    <row r="7210" spans="1:1" x14ac:dyDescent="0.2">
      <c r="A7210" s="366"/>
    </row>
    <row r="7211" spans="1:1" x14ac:dyDescent="0.2">
      <c r="A7211" s="366"/>
    </row>
    <row r="7212" spans="1:1" x14ac:dyDescent="0.2">
      <c r="A7212" s="366"/>
    </row>
    <row r="7213" spans="1:1" x14ac:dyDescent="0.2">
      <c r="A7213" s="366"/>
    </row>
    <row r="7214" spans="1:1" x14ac:dyDescent="0.2">
      <c r="A7214" s="366"/>
    </row>
    <row r="7215" spans="1:1" x14ac:dyDescent="0.2">
      <c r="A7215" s="366"/>
    </row>
    <row r="7216" spans="1:1" x14ac:dyDescent="0.2">
      <c r="A7216" s="366"/>
    </row>
    <row r="7217" spans="1:1" x14ac:dyDescent="0.2">
      <c r="A7217" s="366"/>
    </row>
    <row r="7218" spans="1:1" x14ac:dyDescent="0.2">
      <c r="A7218" s="366"/>
    </row>
    <row r="7219" spans="1:1" x14ac:dyDescent="0.2">
      <c r="A7219" s="366"/>
    </row>
    <row r="7220" spans="1:1" x14ac:dyDescent="0.2">
      <c r="A7220" s="366"/>
    </row>
    <row r="7221" spans="1:1" x14ac:dyDescent="0.2">
      <c r="A7221" s="366"/>
    </row>
    <row r="7222" spans="1:1" x14ac:dyDescent="0.2">
      <c r="A7222" s="366"/>
    </row>
    <row r="7223" spans="1:1" x14ac:dyDescent="0.2">
      <c r="A7223" s="366"/>
    </row>
    <row r="7224" spans="1:1" x14ac:dyDescent="0.2">
      <c r="A7224" s="366"/>
    </row>
    <row r="7225" spans="1:1" x14ac:dyDescent="0.2">
      <c r="A7225" s="366"/>
    </row>
    <row r="7226" spans="1:1" x14ac:dyDescent="0.2">
      <c r="A7226" s="366"/>
    </row>
    <row r="7227" spans="1:1" x14ac:dyDescent="0.2">
      <c r="A7227" s="366"/>
    </row>
    <row r="7228" spans="1:1" x14ac:dyDescent="0.2">
      <c r="A7228" s="366"/>
    </row>
    <row r="7229" spans="1:1" x14ac:dyDescent="0.2">
      <c r="A7229" s="366"/>
    </row>
    <row r="7230" spans="1:1" x14ac:dyDescent="0.2">
      <c r="A7230" s="366"/>
    </row>
    <row r="7231" spans="1:1" x14ac:dyDescent="0.2">
      <c r="A7231" s="366"/>
    </row>
    <row r="7232" spans="1:1" x14ac:dyDescent="0.2">
      <c r="A7232" s="366"/>
    </row>
    <row r="7233" spans="1:1" x14ac:dyDescent="0.2">
      <c r="A7233" s="366"/>
    </row>
    <row r="7234" spans="1:1" x14ac:dyDescent="0.2">
      <c r="A7234" s="366"/>
    </row>
    <row r="7235" spans="1:1" x14ac:dyDescent="0.2">
      <c r="A7235" s="366"/>
    </row>
    <row r="7236" spans="1:1" x14ac:dyDescent="0.2">
      <c r="A7236" s="366"/>
    </row>
    <row r="7237" spans="1:1" x14ac:dyDescent="0.2">
      <c r="A7237" s="366"/>
    </row>
    <row r="7238" spans="1:1" x14ac:dyDescent="0.2">
      <c r="A7238" s="366"/>
    </row>
    <row r="7239" spans="1:1" x14ac:dyDescent="0.2">
      <c r="A7239" s="366"/>
    </row>
    <row r="7240" spans="1:1" x14ac:dyDescent="0.2">
      <c r="A7240" s="366"/>
    </row>
    <row r="7241" spans="1:1" x14ac:dyDescent="0.2">
      <c r="A7241" s="366"/>
    </row>
    <row r="7242" spans="1:1" x14ac:dyDescent="0.2">
      <c r="A7242" s="366"/>
    </row>
    <row r="7243" spans="1:1" x14ac:dyDescent="0.2">
      <c r="A7243" s="366"/>
    </row>
    <row r="7244" spans="1:1" x14ac:dyDescent="0.2">
      <c r="A7244" s="366"/>
    </row>
    <row r="7245" spans="1:1" x14ac:dyDescent="0.2">
      <c r="A7245" s="366"/>
    </row>
    <row r="7246" spans="1:1" x14ac:dyDescent="0.2">
      <c r="A7246" s="366"/>
    </row>
    <row r="7247" spans="1:1" x14ac:dyDescent="0.2">
      <c r="A7247" s="366"/>
    </row>
    <row r="7248" spans="1:1" x14ac:dyDescent="0.2">
      <c r="A7248" s="366"/>
    </row>
    <row r="7249" spans="1:1" x14ac:dyDescent="0.2">
      <c r="A7249" s="366"/>
    </row>
    <row r="7250" spans="1:1" x14ac:dyDescent="0.2">
      <c r="A7250" s="366"/>
    </row>
    <row r="7251" spans="1:1" x14ac:dyDescent="0.2">
      <c r="A7251" s="366"/>
    </row>
    <row r="7252" spans="1:1" x14ac:dyDescent="0.2">
      <c r="A7252" s="366"/>
    </row>
    <row r="7253" spans="1:1" x14ac:dyDescent="0.2">
      <c r="A7253" s="366"/>
    </row>
    <row r="7254" spans="1:1" x14ac:dyDescent="0.2">
      <c r="A7254" s="366"/>
    </row>
    <row r="7255" spans="1:1" x14ac:dyDescent="0.2">
      <c r="A7255" s="366"/>
    </row>
    <row r="7256" spans="1:1" x14ac:dyDescent="0.2">
      <c r="A7256" s="366"/>
    </row>
    <row r="7257" spans="1:1" x14ac:dyDescent="0.2">
      <c r="A7257" s="366"/>
    </row>
    <row r="7258" spans="1:1" x14ac:dyDescent="0.2">
      <c r="A7258" s="366"/>
    </row>
    <row r="7259" spans="1:1" x14ac:dyDescent="0.2">
      <c r="A7259" s="366"/>
    </row>
    <row r="7260" spans="1:1" x14ac:dyDescent="0.2">
      <c r="A7260" s="366"/>
    </row>
    <row r="7261" spans="1:1" x14ac:dyDescent="0.2">
      <c r="A7261" s="366"/>
    </row>
    <row r="7262" spans="1:1" x14ac:dyDescent="0.2">
      <c r="A7262" s="366"/>
    </row>
    <row r="7263" spans="1:1" x14ac:dyDescent="0.2">
      <c r="A7263" s="366"/>
    </row>
    <row r="7264" spans="1:1" x14ac:dyDescent="0.2">
      <c r="A7264" s="366"/>
    </row>
    <row r="7265" spans="1:1" x14ac:dyDescent="0.2">
      <c r="A7265" s="366"/>
    </row>
    <row r="7266" spans="1:1" x14ac:dyDescent="0.2">
      <c r="A7266" s="366"/>
    </row>
    <row r="7267" spans="1:1" x14ac:dyDescent="0.2">
      <c r="A7267" s="366"/>
    </row>
    <row r="7268" spans="1:1" x14ac:dyDescent="0.2">
      <c r="A7268" s="366"/>
    </row>
    <row r="7269" spans="1:1" x14ac:dyDescent="0.2">
      <c r="A7269" s="366"/>
    </row>
    <row r="7270" spans="1:1" x14ac:dyDescent="0.2">
      <c r="A7270" s="366"/>
    </row>
    <row r="7271" spans="1:1" x14ac:dyDescent="0.2">
      <c r="A7271" s="366"/>
    </row>
    <row r="7272" spans="1:1" x14ac:dyDescent="0.2">
      <c r="A7272" s="366"/>
    </row>
    <row r="7273" spans="1:1" x14ac:dyDescent="0.2">
      <c r="A7273" s="366"/>
    </row>
    <row r="7274" spans="1:1" x14ac:dyDescent="0.2">
      <c r="A7274" s="366"/>
    </row>
    <row r="7275" spans="1:1" x14ac:dyDescent="0.2">
      <c r="A7275" s="366"/>
    </row>
    <row r="7276" spans="1:1" x14ac:dyDescent="0.2">
      <c r="A7276" s="366"/>
    </row>
    <row r="7277" spans="1:1" x14ac:dyDescent="0.2">
      <c r="A7277" s="366"/>
    </row>
    <row r="7278" spans="1:1" x14ac:dyDescent="0.2">
      <c r="A7278" s="366"/>
    </row>
    <row r="7279" spans="1:1" x14ac:dyDescent="0.2">
      <c r="A7279" s="366"/>
    </row>
    <row r="7280" spans="1:1" x14ac:dyDescent="0.2">
      <c r="A7280" s="366"/>
    </row>
    <row r="7281" spans="1:1" x14ac:dyDescent="0.2">
      <c r="A7281" s="366"/>
    </row>
    <row r="7282" spans="1:1" x14ac:dyDescent="0.2">
      <c r="A7282" s="366"/>
    </row>
    <row r="7283" spans="1:1" x14ac:dyDescent="0.2">
      <c r="A7283" s="366"/>
    </row>
    <row r="7284" spans="1:1" x14ac:dyDescent="0.2">
      <c r="A7284" s="366"/>
    </row>
    <row r="7285" spans="1:1" x14ac:dyDescent="0.2">
      <c r="A7285" s="366"/>
    </row>
    <row r="7286" spans="1:1" x14ac:dyDescent="0.2">
      <c r="A7286" s="366"/>
    </row>
    <row r="7287" spans="1:1" x14ac:dyDescent="0.2">
      <c r="A7287" s="366"/>
    </row>
    <row r="7288" spans="1:1" x14ac:dyDescent="0.2">
      <c r="A7288" s="366"/>
    </row>
    <row r="7289" spans="1:1" x14ac:dyDescent="0.2">
      <c r="A7289" s="366"/>
    </row>
    <row r="7290" spans="1:1" x14ac:dyDescent="0.2">
      <c r="A7290" s="366"/>
    </row>
    <row r="7291" spans="1:1" x14ac:dyDescent="0.2">
      <c r="A7291" s="366"/>
    </row>
    <row r="7292" spans="1:1" x14ac:dyDescent="0.2">
      <c r="A7292" s="366"/>
    </row>
    <row r="7293" spans="1:1" x14ac:dyDescent="0.2">
      <c r="A7293" s="366"/>
    </row>
    <row r="7294" spans="1:1" x14ac:dyDescent="0.2">
      <c r="A7294" s="366"/>
    </row>
    <row r="7295" spans="1:1" x14ac:dyDescent="0.2">
      <c r="A7295" s="366"/>
    </row>
    <row r="7296" spans="1:1" x14ac:dyDescent="0.2">
      <c r="A7296" s="366"/>
    </row>
    <row r="7297" spans="1:1" x14ac:dyDescent="0.2">
      <c r="A7297" s="366"/>
    </row>
    <row r="7298" spans="1:1" x14ac:dyDescent="0.2">
      <c r="A7298" s="366"/>
    </row>
    <row r="7299" spans="1:1" x14ac:dyDescent="0.2">
      <c r="A7299" s="366"/>
    </row>
    <row r="7300" spans="1:1" x14ac:dyDescent="0.2">
      <c r="A7300" s="366"/>
    </row>
    <row r="7301" spans="1:1" x14ac:dyDescent="0.2">
      <c r="A7301" s="366"/>
    </row>
    <row r="7302" spans="1:1" x14ac:dyDescent="0.2">
      <c r="A7302" s="366"/>
    </row>
    <row r="7303" spans="1:1" x14ac:dyDescent="0.2">
      <c r="A7303" s="366"/>
    </row>
    <row r="7304" spans="1:1" x14ac:dyDescent="0.2">
      <c r="A7304" s="366"/>
    </row>
    <row r="7305" spans="1:1" x14ac:dyDescent="0.2">
      <c r="A7305" s="366"/>
    </row>
    <row r="7306" spans="1:1" x14ac:dyDescent="0.2">
      <c r="A7306" s="366"/>
    </row>
    <row r="7307" spans="1:1" x14ac:dyDescent="0.2">
      <c r="A7307" s="366"/>
    </row>
    <row r="7308" spans="1:1" x14ac:dyDescent="0.2">
      <c r="A7308" s="366"/>
    </row>
    <row r="7309" spans="1:1" x14ac:dyDescent="0.2">
      <c r="A7309" s="366"/>
    </row>
    <row r="7310" spans="1:1" x14ac:dyDescent="0.2">
      <c r="A7310" s="366"/>
    </row>
    <row r="7311" spans="1:1" x14ac:dyDescent="0.2">
      <c r="A7311" s="366"/>
    </row>
    <row r="7312" spans="1:1" x14ac:dyDescent="0.2">
      <c r="A7312" s="366"/>
    </row>
    <row r="7313" spans="1:1" x14ac:dyDescent="0.2">
      <c r="A7313" s="366"/>
    </row>
    <row r="7314" spans="1:1" x14ac:dyDescent="0.2">
      <c r="A7314" s="366"/>
    </row>
    <row r="7315" spans="1:1" x14ac:dyDescent="0.2">
      <c r="A7315" s="366"/>
    </row>
    <row r="7316" spans="1:1" x14ac:dyDescent="0.2">
      <c r="A7316" s="366"/>
    </row>
    <row r="7317" spans="1:1" x14ac:dyDescent="0.2">
      <c r="A7317" s="366"/>
    </row>
    <row r="7318" spans="1:1" x14ac:dyDescent="0.2">
      <c r="A7318" s="366"/>
    </row>
    <row r="7319" spans="1:1" x14ac:dyDescent="0.2">
      <c r="A7319" s="366"/>
    </row>
    <row r="7320" spans="1:1" x14ac:dyDescent="0.2">
      <c r="A7320" s="366"/>
    </row>
    <row r="7321" spans="1:1" x14ac:dyDescent="0.2">
      <c r="A7321" s="366"/>
    </row>
    <row r="7322" spans="1:1" x14ac:dyDescent="0.2">
      <c r="A7322" s="366"/>
    </row>
    <row r="7323" spans="1:1" x14ac:dyDescent="0.2">
      <c r="A7323" s="366"/>
    </row>
    <row r="7324" spans="1:1" x14ac:dyDescent="0.2">
      <c r="A7324" s="366"/>
    </row>
    <row r="7325" spans="1:1" x14ac:dyDescent="0.2">
      <c r="A7325" s="366"/>
    </row>
    <row r="7326" spans="1:1" x14ac:dyDescent="0.2">
      <c r="A7326" s="366"/>
    </row>
    <row r="7327" spans="1:1" x14ac:dyDescent="0.2">
      <c r="A7327" s="366"/>
    </row>
    <row r="7328" spans="1:1" x14ac:dyDescent="0.2">
      <c r="A7328" s="366"/>
    </row>
    <row r="7329" spans="1:1" x14ac:dyDescent="0.2">
      <c r="A7329" s="366"/>
    </row>
    <row r="7330" spans="1:1" x14ac:dyDescent="0.2">
      <c r="A7330" s="366"/>
    </row>
    <row r="7331" spans="1:1" x14ac:dyDescent="0.2">
      <c r="A7331" s="366"/>
    </row>
    <row r="7332" spans="1:1" x14ac:dyDescent="0.2">
      <c r="A7332" s="366"/>
    </row>
    <row r="7333" spans="1:1" x14ac:dyDescent="0.2">
      <c r="A7333" s="366"/>
    </row>
    <row r="7334" spans="1:1" x14ac:dyDescent="0.2">
      <c r="A7334" s="366"/>
    </row>
    <row r="7335" spans="1:1" x14ac:dyDescent="0.2">
      <c r="A7335" s="366"/>
    </row>
    <row r="7336" spans="1:1" x14ac:dyDescent="0.2">
      <c r="A7336" s="366"/>
    </row>
    <row r="7337" spans="1:1" x14ac:dyDescent="0.2">
      <c r="A7337" s="366"/>
    </row>
    <row r="7338" spans="1:1" x14ac:dyDescent="0.2">
      <c r="A7338" s="366"/>
    </row>
    <row r="7339" spans="1:1" x14ac:dyDescent="0.2">
      <c r="A7339" s="366"/>
    </row>
    <row r="7340" spans="1:1" x14ac:dyDescent="0.2">
      <c r="A7340" s="366"/>
    </row>
    <row r="7341" spans="1:1" x14ac:dyDescent="0.2">
      <c r="A7341" s="366"/>
    </row>
    <row r="7342" spans="1:1" x14ac:dyDescent="0.2">
      <c r="A7342" s="366"/>
    </row>
    <row r="7343" spans="1:1" x14ac:dyDescent="0.2">
      <c r="A7343" s="366"/>
    </row>
    <row r="7344" spans="1:1" x14ac:dyDescent="0.2">
      <c r="A7344" s="366"/>
    </row>
    <row r="7345" spans="1:1" x14ac:dyDescent="0.2">
      <c r="A7345" s="366"/>
    </row>
    <row r="7346" spans="1:1" x14ac:dyDescent="0.2">
      <c r="A7346" s="366"/>
    </row>
    <row r="7347" spans="1:1" x14ac:dyDescent="0.2">
      <c r="A7347" s="366"/>
    </row>
    <row r="7348" spans="1:1" x14ac:dyDescent="0.2">
      <c r="A7348" s="366"/>
    </row>
    <row r="7349" spans="1:1" x14ac:dyDescent="0.2">
      <c r="A7349" s="366"/>
    </row>
    <row r="7350" spans="1:1" x14ac:dyDescent="0.2">
      <c r="A7350" s="366"/>
    </row>
    <row r="7351" spans="1:1" x14ac:dyDescent="0.2">
      <c r="A7351" s="366"/>
    </row>
    <row r="7352" spans="1:1" x14ac:dyDescent="0.2">
      <c r="A7352" s="366"/>
    </row>
    <row r="7353" spans="1:1" x14ac:dyDescent="0.2">
      <c r="A7353" s="366"/>
    </row>
    <row r="7354" spans="1:1" x14ac:dyDescent="0.2">
      <c r="A7354" s="366"/>
    </row>
    <row r="7355" spans="1:1" x14ac:dyDescent="0.2">
      <c r="A7355" s="366"/>
    </row>
    <row r="7356" spans="1:1" x14ac:dyDescent="0.2">
      <c r="A7356" s="366"/>
    </row>
    <row r="7357" spans="1:1" x14ac:dyDescent="0.2">
      <c r="A7357" s="366"/>
    </row>
    <row r="7358" spans="1:1" x14ac:dyDescent="0.2">
      <c r="A7358" s="366"/>
    </row>
    <row r="7359" spans="1:1" x14ac:dyDescent="0.2">
      <c r="A7359" s="366"/>
    </row>
    <row r="7360" spans="1:1" x14ac:dyDescent="0.2">
      <c r="A7360" s="366"/>
    </row>
    <row r="7361" spans="1:1" x14ac:dyDescent="0.2">
      <c r="A7361" s="366"/>
    </row>
    <row r="7362" spans="1:1" x14ac:dyDescent="0.2">
      <c r="A7362" s="366"/>
    </row>
    <row r="7363" spans="1:1" x14ac:dyDescent="0.2">
      <c r="A7363" s="366"/>
    </row>
    <row r="7364" spans="1:1" x14ac:dyDescent="0.2">
      <c r="A7364" s="366"/>
    </row>
    <row r="7365" spans="1:1" x14ac:dyDescent="0.2">
      <c r="A7365" s="366"/>
    </row>
    <row r="7366" spans="1:1" x14ac:dyDescent="0.2">
      <c r="A7366" s="366"/>
    </row>
    <row r="7367" spans="1:1" x14ac:dyDescent="0.2">
      <c r="A7367" s="366"/>
    </row>
    <row r="7368" spans="1:1" x14ac:dyDescent="0.2">
      <c r="A7368" s="366"/>
    </row>
    <row r="7369" spans="1:1" x14ac:dyDescent="0.2">
      <c r="A7369" s="366"/>
    </row>
    <row r="7370" spans="1:1" x14ac:dyDescent="0.2">
      <c r="A7370" s="366"/>
    </row>
    <row r="7371" spans="1:1" x14ac:dyDescent="0.2">
      <c r="A7371" s="366"/>
    </row>
    <row r="7372" spans="1:1" x14ac:dyDescent="0.2">
      <c r="A7372" s="366"/>
    </row>
    <row r="7373" spans="1:1" x14ac:dyDescent="0.2">
      <c r="A7373" s="366"/>
    </row>
    <row r="7374" spans="1:1" x14ac:dyDescent="0.2">
      <c r="A7374" s="366"/>
    </row>
    <row r="7375" spans="1:1" x14ac:dyDescent="0.2">
      <c r="A7375" s="366"/>
    </row>
    <row r="7376" spans="1:1" x14ac:dyDescent="0.2">
      <c r="A7376" s="366"/>
    </row>
    <row r="7377" spans="1:1" x14ac:dyDescent="0.2">
      <c r="A7377" s="366"/>
    </row>
    <row r="7378" spans="1:1" x14ac:dyDescent="0.2">
      <c r="A7378" s="366"/>
    </row>
    <row r="7379" spans="1:1" x14ac:dyDescent="0.2">
      <c r="A7379" s="366"/>
    </row>
    <row r="7380" spans="1:1" x14ac:dyDescent="0.2">
      <c r="A7380" s="366"/>
    </row>
    <row r="7381" spans="1:1" x14ac:dyDescent="0.2">
      <c r="A7381" s="366"/>
    </row>
    <row r="7382" spans="1:1" x14ac:dyDescent="0.2">
      <c r="A7382" s="366"/>
    </row>
    <row r="7383" spans="1:1" x14ac:dyDescent="0.2">
      <c r="A7383" s="366"/>
    </row>
    <row r="7384" spans="1:1" x14ac:dyDescent="0.2">
      <c r="A7384" s="366"/>
    </row>
    <row r="7385" spans="1:1" x14ac:dyDescent="0.2">
      <c r="A7385" s="366"/>
    </row>
    <row r="7386" spans="1:1" x14ac:dyDescent="0.2">
      <c r="A7386" s="366"/>
    </row>
    <row r="7387" spans="1:1" x14ac:dyDescent="0.2">
      <c r="A7387" s="366"/>
    </row>
    <row r="7388" spans="1:1" x14ac:dyDescent="0.2">
      <c r="A7388" s="366"/>
    </row>
    <row r="7389" spans="1:1" x14ac:dyDescent="0.2">
      <c r="A7389" s="366"/>
    </row>
    <row r="7390" spans="1:1" x14ac:dyDescent="0.2">
      <c r="A7390" s="366"/>
    </row>
    <row r="7391" spans="1:1" x14ac:dyDescent="0.2">
      <c r="A7391" s="366"/>
    </row>
    <row r="7392" spans="1:1" x14ac:dyDescent="0.2">
      <c r="A7392" s="366"/>
    </row>
    <row r="7393" spans="1:1" x14ac:dyDescent="0.2">
      <c r="A7393" s="366"/>
    </row>
    <row r="7394" spans="1:1" x14ac:dyDescent="0.2">
      <c r="A7394" s="366"/>
    </row>
    <row r="7395" spans="1:1" x14ac:dyDescent="0.2">
      <c r="A7395" s="366"/>
    </row>
    <row r="7396" spans="1:1" x14ac:dyDescent="0.2">
      <c r="A7396" s="366"/>
    </row>
    <row r="7397" spans="1:1" x14ac:dyDescent="0.2">
      <c r="A7397" s="366"/>
    </row>
    <row r="7398" spans="1:1" x14ac:dyDescent="0.2">
      <c r="A7398" s="366"/>
    </row>
    <row r="7399" spans="1:1" x14ac:dyDescent="0.2">
      <c r="A7399" s="366"/>
    </row>
    <row r="7400" spans="1:1" x14ac:dyDescent="0.2">
      <c r="A7400" s="366"/>
    </row>
    <row r="7401" spans="1:1" x14ac:dyDescent="0.2">
      <c r="A7401" s="366"/>
    </row>
    <row r="7402" spans="1:1" x14ac:dyDescent="0.2">
      <c r="A7402" s="366"/>
    </row>
    <row r="7403" spans="1:1" x14ac:dyDescent="0.2">
      <c r="A7403" s="366"/>
    </row>
    <row r="7404" spans="1:1" x14ac:dyDescent="0.2">
      <c r="A7404" s="366"/>
    </row>
    <row r="7405" spans="1:1" x14ac:dyDescent="0.2">
      <c r="A7405" s="366"/>
    </row>
    <row r="7406" spans="1:1" x14ac:dyDescent="0.2">
      <c r="A7406" s="366"/>
    </row>
    <row r="7407" spans="1:1" x14ac:dyDescent="0.2">
      <c r="A7407" s="366"/>
    </row>
    <row r="7408" spans="1:1" x14ac:dyDescent="0.2">
      <c r="A7408" s="366"/>
    </row>
    <row r="7409" spans="1:1" x14ac:dyDescent="0.2">
      <c r="A7409" s="366"/>
    </row>
    <row r="7410" spans="1:1" x14ac:dyDescent="0.2">
      <c r="A7410" s="366"/>
    </row>
    <row r="7411" spans="1:1" x14ac:dyDescent="0.2">
      <c r="A7411" s="366"/>
    </row>
    <row r="7412" spans="1:1" x14ac:dyDescent="0.2">
      <c r="A7412" s="366"/>
    </row>
    <row r="7413" spans="1:1" x14ac:dyDescent="0.2">
      <c r="A7413" s="366"/>
    </row>
    <row r="7414" spans="1:1" x14ac:dyDescent="0.2">
      <c r="A7414" s="366"/>
    </row>
    <row r="7415" spans="1:1" x14ac:dyDescent="0.2">
      <c r="A7415" s="366"/>
    </row>
    <row r="7416" spans="1:1" x14ac:dyDescent="0.2">
      <c r="A7416" s="366"/>
    </row>
    <row r="7417" spans="1:1" x14ac:dyDescent="0.2">
      <c r="A7417" s="366"/>
    </row>
    <row r="7418" spans="1:1" x14ac:dyDescent="0.2">
      <c r="A7418" s="366"/>
    </row>
    <row r="7419" spans="1:1" x14ac:dyDescent="0.2">
      <c r="A7419" s="366"/>
    </row>
    <row r="7420" spans="1:1" x14ac:dyDescent="0.2">
      <c r="A7420" s="366"/>
    </row>
    <row r="7421" spans="1:1" x14ac:dyDescent="0.2">
      <c r="A7421" s="366"/>
    </row>
    <row r="7422" spans="1:1" x14ac:dyDescent="0.2">
      <c r="A7422" s="366"/>
    </row>
    <row r="7423" spans="1:1" x14ac:dyDescent="0.2">
      <c r="A7423" s="366"/>
    </row>
    <row r="7424" spans="1:1" x14ac:dyDescent="0.2">
      <c r="A7424" s="366"/>
    </row>
    <row r="7425" spans="1:1" x14ac:dyDescent="0.2">
      <c r="A7425" s="366"/>
    </row>
    <row r="7426" spans="1:1" x14ac:dyDescent="0.2">
      <c r="A7426" s="366"/>
    </row>
    <row r="7427" spans="1:1" x14ac:dyDescent="0.2">
      <c r="A7427" s="366"/>
    </row>
    <row r="7428" spans="1:1" x14ac:dyDescent="0.2">
      <c r="A7428" s="366"/>
    </row>
    <row r="7429" spans="1:1" x14ac:dyDescent="0.2">
      <c r="A7429" s="366"/>
    </row>
    <row r="7430" spans="1:1" x14ac:dyDescent="0.2">
      <c r="A7430" s="366"/>
    </row>
    <row r="7431" spans="1:1" x14ac:dyDescent="0.2">
      <c r="A7431" s="366"/>
    </row>
    <row r="7432" spans="1:1" x14ac:dyDescent="0.2">
      <c r="A7432" s="366"/>
    </row>
    <row r="7433" spans="1:1" x14ac:dyDescent="0.2">
      <c r="A7433" s="366"/>
    </row>
    <row r="7434" spans="1:1" x14ac:dyDescent="0.2">
      <c r="A7434" s="366"/>
    </row>
    <row r="7435" spans="1:1" x14ac:dyDescent="0.2">
      <c r="A7435" s="366"/>
    </row>
    <row r="7436" spans="1:1" x14ac:dyDescent="0.2">
      <c r="A7436" s="366"/>
    </row>
    <row r="7437" spans="1:1" x14ac:dyDescent="0.2">
      <c r="A7437" s="366"/>
    </row>
    <row r="7438" spans="1:1" x14ac:dyDescent="0.2">
      <c r="A7438" s="366"/>
    </row>
    <row r="7439" spans="1:1" x14ac:dyDescent="0.2">
      <c r="A7439" s="366"/>
    </row>
    <row r="7440" spans="1:1" x14ac:dyDescent="0.2">
      <c r="A7440" s="366"/>
    </row>
    <row r="7441" spans="1:1" x14ac:dyDescent="0.2">
      <c r="A7441" s="366"/>
    </row>
    <row r="7442" spans="1:1" x14ac:dyDescent="0.2">
      <c r="A7442" s="366"/>
    </row>
    <row r="7443" spans="1:1" x14ac:dyDescent="0.2">
      <c r="A7443" s="366"/>
    </row>
    <row r="7444" spans="1:1" x14ac:dyDescent="0.2">
      <c r="A7444" s="366"/>
    </row>
    <row r="7445" spans="1:1" x14ac:dyDescent="0.2">
      <c r="A7445" s="366"/>
    </row>
    <row r="7446" spans="1:1" x14ac:dyDescent="0.2">
      <c r="A7446" s="366"/>
    </row>
    <row r="7447" spans="1:1" x14ac:dyDescent="0.2">
      <c r="A7447" s="366"/>
    </row>
    <row r="7448" spans="1:1" x14ac:dyDescent="0.2">
      <c r="A7448" s="366"/>
    </row>
    <row r="7449" spans="1:1" x14ac:dyDescent="0.2">
      <c r="A7449" s="366"/>
    </row>
    <row r="7450" spans="1:1" x14ac:dyDescent="0.2">
      <c r="A7450" s="366"/>
    </row>
    <row r="7451" spans="1:1" x14ac:dyDescent="0.2">
      <c r="A7451" s="366"/>
    </row>
    <row r="7452" spans="1:1" x14ac:dyDescent="0.2">
      <c r="A7452" s="366"/>
    </row>
    <row r="7453" spans="1:1" x14ac:dyDescent="0.2">
      <c r="A7453" s="366"/>
    </row>
    <row r="7454" spans="1:1" x14ac:dyDescent="0.2">
      <c r="A7454" s="366"/>
    </row>
    <row r="7455" spans="1:1" x14ac:dyDescent="0.2">
      <c r="A7455" s="366"/>
    </row>
    <row r="7456" spans="1:1" x14ac:dyDescent="0.2">
      <c r="A7456" s="366"/>
    </row>
    <row r="7457" spans="1:1" x14ac:dyDescent="0.2">
      <c r="A7457" s="366"/>
    </row>
    <row r="7458" spans="1:1" x14ac:dyDescent="0.2">
      <c r="A7458" s="366"/>
    </row>
    <row r="7459" spans="1:1" x14ac:dyDescent="0.2">
      <c r="A7459" s="366"/>
    </row>
    <row r="7460" spans="1:1" x14ac:dyDescent="0.2">
      <c r="A7460" s="366"/>
    </row>
    <row r="7461" spans="1:1" x14ac:dyDescent="0.2">
      <c r="A7461" s="366"/>
    </row>
    <row r="7462" spans="1:1" x14ac:dyDescent="0.2">
      <c r="A7462" s="366"/>
    </row>
    <row r="7463" spans="1:1" x14ac:dyDescent="0.2">
      <c r="A7463" s="366"/>
    </row>
    <row r="7464" spans="1:1" x14ac:dyDescent="0.2">
      <c r="A7464" s="366"/>
    </row>
    <row r="7465" spans="1:1" x14ac:dyDescent="0.2">
      <c r="A7465" s="366"/>
    </row>
    <row r="7466" spans="1:1" x14ac:dyDescent="0.2">
      <c r="A7466" s="366"/>
    </row>
    <row r="7467" spans="1:1" x14ac:dyDescent="0.2">
      <c r="A7467" s="366"/>
    </row>
    <row r="7468" spans="1:1" x14ac:dyDescent="0.2">
      <c r="A7468" s="366"/>
    </row>
    <row r="7469" spans="1:1" x14ac:dyDescent="0.2">
      <c r="A7469" s="366"/>
    </row>
    <row r="7470" spans="1:1" x14ac:dyDescent="0.2">
      <c r="A7470" s="366"/>
    </row>
    <row r="7471" spans="1:1" x14ac:dyDescent="0.2">
      <c r="A7471" s="366"/>
    </row>
    <row r="7472" spans="1:1" x14ac:dyDescent="0.2">
      <c r="A7472" s="366"/>
    </row>
    <row r="7473" spans="1:1" x14ac:dyDescent="0.2">
      <c r="A7473" s="366"/>
    </row>
    <row r="7474" spans="1:1" x14ac:dyDescent="0.2">
      <c r="A7474" s="366"/>
    </row>
    <row r="7475" spans="1:1" x14ac:dyDescent="0.2">
      <c r="A7475" s="366"/>
    </row>
    <row r="7476" spans="1:1" x14ac:dyDescent="0.2">
      <c r="A7476" s="366"/>
    </row>
    <row r="7477" spans="1:1" x14ac:dyDescent="0.2">
      <c r="A7477" s="366"/>
    </row>
    <row r="7478" spans="1:1" x14ac:dyDescent="0.2">
      <c r="A7478" s="366"/>
    </row>
    <row r="7479" spans="1:1" x14ac:dyDescent="0.2">
      <c r="A7479" s="366"/>
    </row>
    <row r="7480" spans="1:1" x14ac:dyDescent="0.2">
      <c r="A7480" s="366"/>
    </row>
    <row r="7481" spans="1:1" x14ac:dyDescent="0.2">
      <c r="A7481" s="366"/>
    </row>
    <row r="7482" spans="1:1" x14ac:dyDescent="0.2">
      <c r="A7482" s="366"/>
    </row>
    <row r="7483" spans="1:1" x14ac:dyDescent="0.2">
      <c r="A7483" s="366"/>
    </row>
    <row r="7484" spans="1:1" x14ac:dyDescent="0.2">
      <c r="A7484" s="366"/>
    </row>
    <row r="7485" spans="1:1" x14ac:dyDescent="0.2">
      <c r="A7485" s="366"/>
    </row>
    <row r="7486" spans="1:1" x14ac:dyDescent="0.2">
      <c r="A7486" s="366"/>
    </row>
    <row r="7487" spans="1:1" x14ac:dyDescent="0.2">
      <c r="A7487" s="366"/>
    </row>
    <row r="7488" spans="1:1" x14ac:dyDescent="0.2">
      <c r="A7488" s="366"/>
    </row>
    <row r="7489" spans="1:1" x14ac:dyDescent="0.2">
      <c r="A7489" s="366"/>
    </row>
    <row r="7490" spans="1:1" x14ac:dyDescent="0.2">
      <c r="A7490" s="366"/>
    </row>
    <row r="7491" spans="1:1" x14ac:dyDescent="0.2">
      <c r="A7491" s="366"/>
    </row>
    <row r="7492" spans="1:1" x14ac:dyDescent="0.2">
      <c r="A7492" s="366"/>
    </row>
    <row r="7493" spans="1:1" x14ac:dyDescent="0.2">
      <c r="A7493" s="366"/>
    </row>
    <row r="7494" spans="1:1" x14ac:dyDescent="0.2">
      <c r="A7494" s="366"/>
    </row>
    <row r="7495" spans="1:1" x14ac:dyDescent="0.2">
      <c r="A7495" s="366"/>
    </row>
    <row r="7496" spans="1:1" x14ac:dyDescent="0.2">
      <c r="A7496" s="366"/>
    </row>
    <row r="7497" spans="1:1" x14ac:dyDescent="0.2">
      <c r="A7497" s="366"/>
    </row>
    <row r="7498" spans="1:1" x14ac:dyDescent="0.2">
      <c r="A7498" s="366"/>
    </row>
    <row r="7499" spans="1:1" x14ac:dyDescent="0.2">
      <c r="A7499" s="366"/>
    </row>
    <row r="7500" spans="1:1" x14ac:dyDescent="0.2">
      <c r="A7500" s="366"/>
    </row>
    <row r="7501" spans="1:1" x14ac:dyDescent="0.2">
      <c r="A7501" s="366"/>
    </row>
    <row r="7502" spans="1:1" x14ac:dyDescent="0.2">
      <c r="A7502" s="366"/>
    </row>
    <row r="7503" spans="1:1" x14ac:dyDescent="0.2">
      <c r="A7503" s="366"/>
    </row>
    <row r="7504" spans="1:1" x14ac:dyDescent="0.2">
      <c r="A7504" s="366"/>
    </row>
    <row r="7505" spans="1:1" x14ac:dyDescent="0.2">
      <c r="A7505" s="366"/>
    </row>
    <row r="7506" spans="1:1" x14ac:dyDescent="0.2">
      <c r="A7506" s="366"/>
    </row>
    <row r="7507" spans="1:1" x14ac:dyDescent="0.2">
      <c r="A7507" s="366"/>
    </row>
    <row r="7508" spans="1:1" x14ac:dyDescent="0.2">
      <c r="A7508" s="366"/>
    </row>
    <row r="7509" spans="1:1" x14ac:dyDescent="0.2">
      <c r="A7509" s="366"/>
    </row>
    <row r="7510" spans="1:1" x14ac:dyDescent="0.2">
      <c r="A7510" s="366"/>
    </row>
    <row r="7511" spans="1:1" x14ac:dyDescent="0.2">
      <c r="A7511" s="366"/>
    </row>
    <row r="7512" spans="1:1" x14ac:dyDescent="0.2">
      <c r="A7512" s="366"/>
    </row>
    <row r="7513" spans="1:1" x14ac:dyDescent="0.2">
      <c r="A7513" s="366"/>
    </row>
    <row r="7514" spans="1:1" x14ac:dyDescent="0.2">
      <c r="A7514" s="366"/>
    </row>
    <row r="7515" spans="1:1" x14ac:dyDescent="0.2">
      <c r="A7515" s="366"/>
    </row>
    <row r="7516" spans="1:1" x14ac:dyDescent="0.2">
      <c r="A7516" s="366"/>
    </row>
    <row r="7517" spans="1:1" x14ac:dyDescent="0.2">
      <c r="A7517" s="366"/>
    </row>
    <row r="7518" spans="1:1" x14ac:dyDescent="0.2">
      <c r="A7518" s="366"/>
    </row>
    <row r="7519" spans="1:1" x14ac:dyDescent="0.2">
      <c r="A7519" s="366"/>
    </row>
    <row r="7520" spans="1:1" x14ac:dyDescent="0.2">
      <c r="A7520" s="366"/>
    </row>
    <row r="7521" spans="1:1" x14ac:dyDescent="0.2">
      <c r="A7521" s="366"/>
    </row>
    <row r="7522" spans="1:1" x14ac:dyDescent="0.2">
      <c r="A7522" s="366"/>
    </row>
    <row r="7523" spans="1:1" x14ac:dyDescent="0.2">
      <c r="A7523" s="366"/>
    </row>
    <row r="7524" spans="1:1" x14ac:dyDescent="0.2">
      <c r="A7524" s="366"/>
    </row>
    <row r="7525" spans="1:1" x14ac:dyDescent="0.2">
      <c r="A7525" s="366"/>
    </row>
    <row r="7526" spans="1:1" x14ac:dyDescent="0.2">
      <c r="A7526" s="366"/>
    </row>
    <row r="7527" spans="1:1" x14ac:dyDescent="0.2">
      <c r="A7527" s="366"/>
    </row>
    <row r="7528" spans="1:1" x14ac:dyDescent="0.2">
      <c r="A7528" s="366"/>
    </row>
    <row r="7529" spans="1:1" x14ac:dyDescent="0.2">
      <c r="A7529" s="366"/>
    </row>
    <row r="7530" spans="1:1" x14ac:dyDescent="0.2">
      <c r="A7530" s="366"/>
    </row>
    <row r="7531" spans="1:1" x14ac:dyDescent="0.2">
      <c r="A7531" s="366"/>
    </row>
    <row r="7532" spans="1:1" x14ac:dyDescent="0.2">
      <c r="A7532" s="366"/>
    </row>
    <row r="7533" spans="1:1" x14ac:dyDescent="0.2">
      <c r="A7533" s="366"/>
    </row>
    <row r="7534" spans="1:1" x14ac:dyDescent="0.2">
      <c r="A7534" s="366"/>
    </row>
    <row r="7535" spans="1:1" x14ac:dyDescent="0.2">
      <c r="A7535" s="366"/>
    </row>
    <row r="7536" spans="1:1" x14ac:dyDescent="0.2">
      <c r="A7536" s="366"/>
    </row>
    <row r="7537" spans="1:1" x14ac:dyDescent="0.2">
      <c r="A7537" s="366"/>
    </row>
    <row r="7538" spans="1:1" x14ac:dyDescent="0.2">
      <c r="A7538" s="366"/>
    </row>
    <row r="7539" spans="1:1" x14ac:dyDescent="0.2">
      <c r="A7539" s="366"/>
    </row>
    <row r="7540" spans="1:1" x14ac:dyDescent="0.2">
      <c r="A7540" s="366"/>
    </row>
    <row r="7541" spans="1:1" x14ac:dyDescent="0.2">
      <c r="A7541" s="366"/>
    </row>
    <row r="7542" spans="1:1" x14ac:dyDescent="0.2">
      <c r="A7542" s="366"/>
    </row>
    <row r="7543" spans="1:1" x14ac:dyDescent="0.2">
      <c r="A7543" s="366"/>
    </row>
    <row r="7544" spans="1:1" x14ac:dyDescent="0.2">
      <c r="A7544" s="366"/>
    </row>
    <row r="7545" spans="1:1" x14ac:dyDescent="0.2">
      <c r="A7545" s="366"/>
    </row>
    <row r="7546" spans="1:1" x14ac:dyDescent="0.2">
      <c r="A7546" s="366"/>
    </row>
    <row r="7547" spans="1:1" x14ac:dyDescent="0.2">
      <c r="A7547" s="366"/>
    </row>
    <row r="7548" spans="1:1" x14ac:dyDescent="0.2">
      <c r="A7548" s="366"/>
    </row>
    <row r="7549" spans="1:1" x14ac:dyDescent="0.2">
      <c r="A7549" s="366"/>
    </row>
    <row r="7550" spans="1:1" x14ac:dyDescent="0.2">
      <c r="A7550" s="366"/>
    </row>
    <row r="7551" spans="1:1" x14ac:dyDescent="0.2">
      <c r="A7551" s="366"/>
    </row>
    <row r="7552" spans="1:1" x14ac:dyDescent="0.2">
      <c r="A7552" s="366"/>
    </row>
    <row r="7553" spans="1:1" x14ac:dyDescent="0.2">
      <c r="A7553" s="366"/>
    </row>
    <row r="7554" spans="1:1" x14ac:dyDescent="0.2">
      <c r="A7554" s="366"/>
    </row>
    <row r="7555" spans="1:1" x14ac:dyDescent="0.2">
      <c r="A7555" s="366"/>
    </row>
    <row r="7556" spans="1:1" x14ac:dyDescent="0.2">
      <c r="A7556" s="366"/>
    </row>
    <row r="7557" spans="1:1" x14ac:dyDescent="0.2">
      <c r="A7557" s="366"/>
    </row>
    <row r="7558" spans="1:1" x14ac:dyDescent="0.2">
      <c r="A7558" s="366"/>
    </row>
    <row r="7559" spans="1:1" x14ac:dyDescent="0.2">
      <c r="A7559" s="366"/>
    </row>
    <row r="7560" spans="1:1" x14ac:dyDescent="0.2">
      <c r="A7560" s="366"/>
    </row>
    <row r="7561" spans="1:1" x14ac:dyDescent="0.2">
      <c r="A7561" s="366"/>
    </row>
    <row r="7562" spans="1:1" x14ac:dyDescent="0.2">
      <c r="A7562" s="366"/>
    </row>
    <row r="7563" spans="1:1" x14ac:dyDescent="0.2">
      <c r="A7563" s="366"/>
    </row>
    <row r="7564" spans="1:1" x14ac:dyDescent="0.2">
      <c r="A7564" s="366"/>
    </row>
    <row r="7565" spans="1:1" x14ac:dyDescent="0.2">
      <c r="A7565" s="366"/>
    </row>
    <row r="7566" spans="1:1" x14ac:dyDescent="0.2">
      <c r="A7566" s="366"/>
    </row>
    <row r="7567" spans="1:1" x14ac:dyDescent="0.2">
      <c r="A7567" s="366"/>
    </row>
    <row r="7568" spans="1:1" x14ac:dyDescent="0.2">
      <c r="A7568" s="366"/>
    </row>
    <row r="7569" spans="1:1" x14ac:dyDescent="0.2">
      <c r="A7569" s="366"/>
    </row>
    <row r="7570" spans="1:1" x14ac:dyDescent="0.2">
      <c r="A7570" s="366"/>
    </row>
    <row r="7571" spans="1:1" x14ac:dyDescent="0.2">
      <c r="A7571" s="366"/>
    </row>
    <row r="7572" spans="1:1" x14ac:dyDescent="0.2">
      <c r="A7572" s="366"/>
    </row>
    <row r="7573" spans="1:1" x14ac:dyDescent="0.2">
      <c r="A7573" s="366"/>
    </row>
    <row r="7574" spans="1:1" x14ac:dyDescent="0.2">
      <c r="A7574" s="366"/>
    </row>
    <row r="7575" spans="1:1" x14ac:dyDescent="0.2">
      <c r="A7575" s="366"/>
    </row>
    <row r="7576" spans="1:1" x14ac:dyDescent="0.2">
      <c r="A7576" s="366"/>
    </row>
    <row r="7577" spans="1:1" x14ac:dyDescent="0.2">
      <c r="A7577" s="366"/>
    </row>
    <row r="7578" spans="1:1" x14ac:dyDescent="0.2">
      <c r="A7578" s="366"/>
    </row>
    <row r="7579" spans="1:1" x14ac:dyDescent="0.2">
      <c r="A7579" s="366"/>
    </row>
    <row r="7580" spans="1:1" x14ac:dyDescent="0.2">
      <c r="A7580" s="366"/>
    </row>
    <row r="7581" spans="1:1" x14ac:dyDescent="0.2">
      <c r="A7581" s="366"/>
    </row>
    <row r="7582" spans="1:1" x14ac:dyDescent="0.2">
      <c r="A7582" s="366"/>
    </row>
    <row r="7583" spans="1:1" x14ac:dyDescent="0.2">
      <c r="A7583" s="366"/>
    </row>
    <row r="7584" spans="1:1" x14ac:dyDescent="0.2">
      <c r="A7584" s="366"/>
    </row>
    <row r="7585" spans="1:1" x14ac:dyDescent="0.2">
      <c r="A7585" s="366"/>
    </row>
    <row r="7586" spans="1:1" x14ac:dyDescent="0.2">
      <c r="A7586" s="366"/>
    </row>
    <row r="7587" spans="1:1" x14ac:dyDescent="0.2">
      <c r="A7587" s="366"/>
    </row>
    <row r="7588" spans="1:1" x14ac:dyDescent="0.2">
      <c r="A7588" s="366"/>
    </row>
    <row r="7589" spans="1:1" x14ac:dyDescent="0.2">
      <c r="A7589" s="366"/>
    </row>
    <row r="7590" spans="1:1" x14ac:dyDescent="0.2">
      <c r="A7590" s="366"/>
    </row>
    <row r="7591" spans="1:1" x14ac:dyDescent="0.2">
      <c r="A7591" s="366"/>
    </row>
    <row r="7592" spans="1:1" x14ac:dyDescent="0.2">
      <c r="A7592" s="366"/>
    </row>
    <row r="7593" spans="1:1" x14ac:dyDescent="0.2">
      <c r="A7593" s="366"/>
    </row>
    <row r="7594" spans="1:1" x14ac:dyDescent="0.2">
      <c r="A7594" s="366"/>
    </row>
    <row r="7595" spans="1:1" x14ac:dyDescent="0.2">
      <c r="A7595" s="366"/>
    </row>
    <row r="7596" spans="1:1" x14ac:dyDescent="0.2">
      <c r="A7596" s="366"/>
    </row>
    <row r="7597" spans="1:1" x14ac:dyDescent="0.2">
      <c r="A7597" s="366"/>
    </row>
    <row r="7598" spans="1:1" x14ac:dyDescent="0.2">
      <c r="A7598" s="366"/>
    </row>
    <row r="7599" spans="1:1" x14ac:dyDescent="0.2">
      <c r="A7599" s="366"/>
    </row>
    <row r="7600" spans="1:1" x14ac:dyDescent="0.2">
      <c r="A7600" s="366"/>
    </row>
    <row r="7601" spans="1:1" x14ac:dyDescent="0.2">
      <c r="A7601" s="366"/>
    </row>
    <row r="7602" spans="1:1" x14ac:dyDescent="0.2">
      <c r="A7602" s="366"/>
    </row>
    <row r="7603" spans="1:1" x14ac:dyDescent="0.2">
      <c r="A7603" s="366"/>
    </row>
    <row r="7604" spans="1:1" x14ac:dyDescent="0.2">
      <c r="A7604" s="366"/>
    </row>
    <row r="7605" spans="1:1" x14ac:dyDescent="0.2">
      <c r="A7605" s="366"/>
    </row>
    <row r="7606" spans="1:1" x14ac:dyDescent="0.2">
      <c r="A7606" s="366"/>
    </row>
    <row r="7607" spans="1:1" x14ac:dyDescent="0.2">
      <c r="A7607" s="366"/>
    </row>
    <row r="7608" spans="1:1" x14ac:dyDescent="0.2">
      <c r="A7608" s="366"/>
    </row>
    <row r="7609" spans="1:1" x14ac:dyDescent="0.2">
      <c r="A7609" s="366"/>
    </row>
    <row r="7610" spans="1:1" x14ac:dyDescent="0.2">
      <c r="A7610" s="366"/>
    </row>
    <row r="7611" spans="1:1" x14ac:dyDescent="0.2">
      <c r="A7611" s="366"/>
    </row>
    <row r="7612" spans="1:1" x14ac:dyDescent="0.2">
      <c r="A7612" s="366"/>
    </row>
    <row r="7613" spans="1:1" x14ac:dyDescent="0.2">
      <c r="A7613" s="366"/>
    </row>
    <row r="7614" spans="1:1" x14ac:dyDescent="0.2">
      <c r="A7614" s="366"/>
    </row>
    <row r="7615" spans="1:1" x14ac:dyDescent="0.2">
      <c r="A7615" s="366"/>
    </row>
    <row r="7616" spans="1:1" x14ac:dyDescent="0.2">
      <c r="A7616" s="366"/>
    </row>
    <row r="7617" spans="1:1" x14ac:dyDescent="0.2">
      <c r="A7617" s="366"/>
    </row>
    <row r="7618" spans="1:1" x14ac:dyDescent="0.2">
      <c r="A7618" s="366"/>
    </row>
    <row r="7619" spans="1:1" x14ac:dyDescent="0.2">
      <c r="A7619" s="366"/>
    </row>
    <row r="7620" spans="1:1" x14ac:dyDescent="0.2">
      <c r="A7620" s="366"/>
    </row>
    <row r="7621" spans="1:1" x14ac:dyDescent="0.2">
      <c r="A7621" s="366"/>
    </row>
    <row r="7622" spans="1:1" x14ac:dyDescent="0.2">
      <c r="A7622" s="366"/>
    </row>
    <row r="7623" spans="1:1" x14ac:dyDescent="0.2">
      <c r="A7623" s="366"/>
    </row>
    <row r="7624" spans="1:1" x14ac:dyDescent="0.2">
      <c r="A7624" s="366"/>
    </row>
    <row r="7625" spans="1:1" x14ac:dyDescent="0.2">
      <c r="A7625" s="366"/>
    </row>
    <row r="7626" spans="1:1" x14ac:dyDescent="0.2">
      <c r="A7626" s="366"/>
    </row>
    <row r="7627" spans="1:1" x14ac:dyDescent="0.2">
      <c r="A7627" s="366"/>
    </row>
    <row r="7628" spans="1:1" x14ac:dyDescent="0.2">
      <c r="A7628" s="366"/>
    </row>
    <row r="7629" spans="1:1" x14ac:dyDescent="0.2">
      <c r="A7629" s="366"/>
    </row>
    <row r="7630" spans="1:1" x14ac:dyDescent="0.2">
      <c r="A7630" s="366"/>
    </row>
    <row r="7631" spans="1:1" x14ac:dyDescent="0.2">
      <c r="A7631" s="366"/>
    </row>
    <row r="7632" spans="1:1" x14ac:dyDescent="0.2">
      <c r="A7632" s="366"/>
    </row>
    <row r="7633" spans="1:1" x14ac:dyDescent="0.2">
      <c r="A7633" s="366"/>
    </row>
    <row r="7634" spans="1:1" x14ac:dyDescent="0.2">
      <c r="A7634" s="366"/>
    </row>
    <row r="7635" spans="1:1" x14ac:dyDescent="0.2">
      <c r="A7635" s="366"/>
    </row>
    <row r="7636" spans="1:1" x14ac:dyDescent="0.2">
      <c r="A7636" s="366"/>
    </row>
    <row r="7637" spans="1:1" x14ac:dyDescent="0.2">
      <c r="A7637" s="366"/>
    </row>
    <row r="7638" spans="1:1" x14ac:dyDescent="0.2">
      <c r="A7638" s="366"/>
    </row>
    <row r="7639" spans="1:1" x14ac:dyDescent="0.2">
      <c r="A7639" s="366"/>
    </row>
    <row r="7640" spans="1:1" x14ac:dyDescent="0.2">
      <c r="A7640" s="366"/>
    </row>
    <row r="7641" spans="1:1" x14ac:dyDescent="0.2">
      <c r="A7641" s="366"/>
    </row>
    <row r="7642" spans="1:1" x14ac:dyDescent="0.2">
      <c r="A7642" s="366"/>
    </row>
    <row r="7643" spans="1:1" x14ac:dyDescent="0.2">
      <c r="A7643" s="366"/>
    </row>
    <row r="7644" spans="1:1" x14ac:dyDescent="0.2">
      <c r="A7644" s="366"/>
    </row>
    <row r="7645" spans="1:1" x14ac:dyDescent="0.2">
      <c r="A7645" s="366"/>
    </row>
    <row r="7646" spans="1:1" x14ac:dyDescent="0.2">
      <c r="A7646" s="366"/>
    </row>
    <row r="7647" spans="1:1" x14ac:dyDescent="0.2">
      <c r="A7647" s="366"/>
    </row>
    <row r="7648" spans="1:1" x14ac:dyDescent="0.2">
      <c r="A7648" s="366"/>
    </row>
    <row r="7649" spans="1:1" x14ac:dyDescent="0.2">
      <c r="A7649" s="366"/>
    </row>
    <row r="7650" spans="1:1" x14ac:dyDescent="0.2">
      <c r="A7650" s="366"/>
    </row>
    <row r="7651" spans="1:1" x14ac:dyDescent="0.2">
      <c r="A7651" s="366"/>
    </row>
    <row r="7652" spans="1:1" x14ac:dyDescent="0.2">
      <c r="A7652" s="366"/>
    </row>
    <row r="7653" spans="1:1" x14ac:dyDescent="0.2">
      <c r="A7653" s="366"/>
    </row>
    <row r="7654" spans="1:1" x14ac:dyDescent="0.2">
      <c r="A7654" s="366"/>
    </row>
    <row r="7655" spans="1:1" x14ac:dyDescent="0.2">
      <c r="A7655" s="366"/>
    </row>
    <row r="7656" spans="1:1" x14ac:dyDescent="0.2">
      <c r="A7656" s="366"/>
    </row>
    <row r="7657" spans="1:1" x14ac:dyDescent="0.2">
      <c r="A7657" s="366"/>
    </row>
    <row r="7658" spans="1:1" x14ac:dyDescent="0.2">
      <c r="A7658" s="366"/>
    </row>
    <row r="7659" spans="1:1" x14ac:dyDescent="0.2">
      <c r="A7659" s="366"/>
    </row>
    <row r="7660" spans="1:1" x14ac:dyDescent="0.2">
      <c r="A7660" s="366"/>
    </row>
    <row r="7661" spans="1:1" x14ac:dyDescent="0.2">
      <c r="A7661" s="366"/>
    </row>
    <row r="7662" spans="1:1" x14ac:dyDescent="0.2">
      <c r="A7662" s="366"/>
    </row>
    <row r="7663" spans="1:1" x14ac:dyDescent="0.2">
      <c r="A7663" s="366"/>
    </row>
    <row r="7664" spans="1:1" x14ac:dyDescent="0.2">
      <c r="A7664" s="366"/>
    </row>
    <row r="7665" spans="1:1" x14ac:dyDescent="0.2">
      <c r="A7665" s="366"/>
    </row>
    <row r="7666" spans="1:1" x14ac:dyDescent="0.2">
      <c r="A7666" s="366"/>
    </row>
    <row r="7667" spans="1:1" x14ac:dyDescent="0.2">
      <c r="A7667" s="366"/>
    </row>
    <row r="7668" spans="1:1" x14ac:dyDescent="0.2">
      <c r="A7668" s="366"/>
    </row>
    <row r="7669" spans="1:1" x14ac:dyDescent="0.2">
      <c r="A7669" s="366"/>
    </row>
    <row r="7670" spans="1:1" x14ac:dyDescent="0.2">
      <c r="A7670" s="366"/>
    </row>
    <row r="7671" spans="1:1" x14ac:dyDescent="0.2">
      <c r="A7671" s="366"/>
    </row>
    <row r="7672" spans="1:1" x14ac:dyDescent="0.2">
      <c r="A7672" s="366"/>
    </row>
    <row r="7673" spans="1:1" x14ac:dyDescent="0.2">
      <c r="A7673" s="366"/>
    </row>
    <row r="7674" spans="1:1" x14ac:dyDescent="0.2">
      <c r="A7674" s="366"/>
    </row>
    <row r="7675" spans="1:1" x14ac:dyDescent="0.2">
      <c r="A7675" s="366"/>
    </row>
    <row r="7676" spans="1:1" x14ac:dyDescent="0.2">
      <c r="A7676" s="366"/>
    </row>
    <row r="7677" spans="1:1" x14ac:dyDescent="0.2">
      <c r="A7677" s="366"/>
    </row>
    <row r="7678" spans="1:1" x14ac:dyDescent="0.2">
      <c r="A7678" s="366"/>
    </row>
    <row r="7679" spans="1:1" x14ac:dyDescent="0.2">
      <c r="A7679" s="366"/>
    </row>
    <row r="7680" spans="1:1" x14ac:dyDescent="0.2">
      <c r="A7680" s="366"/>
    </row>
    <row r="7681" spans="1:1" x14ac:dyDescent="0.2">
      <c r="A7681" s="366"/>
    </row>
    <row r="7682" spans="1:1" x14ac:dyDescent="0.2">
      <c r="A7682" s="366"/>
    </row>
    <row r="7683" spans="1:1" x14ac:dyDescent="0.2">
      <c r="A7683" s="366"/>
    </row>
    <row r="7684" spans="1:1" x14ac:dyDescent="0.2">
      <c r="A7684" s="366"/>
    </row>
    <row r="7685" spans="1:1" x14ac:dyDescent="0.2">
      <c r="A7685" s="366"/>
    </row>
    <row r="7686" spans="1:1" x14ac:dyDescent="0.2">
      <c r="A7686" s="366"/>
    </row>
    <row r="7687" spans="1:1" x14ac:dyDescent="0.2">
      <c r="A7687" s="366"/>
    </row>
    <row r="7688" spans="1:1" x14ac:dyDescent="0.2">
      <c r="A7688" s="366"/>
    </row>
    <row r="7689" spans="1:1" x14ac:dyDescent="0.2">
      <c r="A7689" s="366"/>
    </row>
    <row r="7690" spans="1:1" x14ac:dyDescent="0.2">
      <c r="A7690" s="366"/>
    </row>
    <row r="7691" spans="1:1" x14ac:dyDescent="0.2">
      <c r="A7691" s="366"/>
    </row>
    <row r="7692" spans="1:1" x14ac:dyDescent="0.2">
      <c r="A7692" s="366"/>
    </row>
    <row r="7693" spans="1:1" x14ac:dyDescent="0.2">
      <c r="A7693" s="366"/>
    </row>
    <row r="7694" spans="1:1" x14ac:dyDescent="0.2">
      <c r="A7694" s="366"/>
    </row>
    <row r="7695" spans="1:1" x14ac:dyDescent="0.2">
      <c r="A7695" s="366"/>
    </row>
    <row r="7696" spans="1:1" x14ac:dyDescent="0.2">
      <c r="A7696" s="366"/>
    </row>
    <row r="7697" spans="1:1" x14ac:dyDescent="0.2">
      <c r="A7697" s="366"/>
    </row>
    <row r="7698" spans="1:1" x14ac:dyDescent="0.2">
      <c r="A7698" s="366"/>
    </row>
    <row r="7699" spans="1:1" x14ac:dyDescent="0.2">
      <c r="A7699" s="366"/>
    </row>
    <row r="7700" spans="1:1" x14ac:dyDescent="0.2">
      <c r="A7700" s="366"/>
    </row>
    <row r="7701" spans="1:1" x14ac:dyDescent="0.2">
      <c r="A7701" s="366"/>
    </row>
    <row r="7702" spans="1:1" x14ac:dyDescent="0.2">
      <c r="A7702" s="366"/>
    </row>
    <row r="7703" spans="1:1" x14ac:dyDescent="0.2">
      <c r="A7703" s="366"/>
    </row>
    <row r="7704" spans="1:1" x14ac:dyDescent="0.2">
      <c r="A7704" s="366"/>
    </row>
    <row r="7705" spans="1:1" x14ac:dyDescent="0.2">
      <c r="A7705" s="366"/>
    </row>
    <row r="7706" spans="1:1" x14ac:dyDescent="0.2">
      <c r="A7706" s="366"/>
    </row>
    <row r="7707" spans="1:1" x14ac:dyDescent="0.2">
      <c r="A7707" s="366"/>
    </row>
    <row r="7708" spans="1:1" x14ac:dyDescent="0.2">
      <c r="A7708" s="366"/>
    </row>
    <row r="7709" spans="1:1" x14ac:dyDescent="0.2">
      <c r="A7709" s="366"/>
    </row>
    <row r="7710" spans="1:1" x14ac:dyDescent="0.2">
      <c r="A7710" s="366"/>
    </row>
    <row r="7711" spans="1:1" x14ac:dyDescent="0.2">
      <c r="A7711" s="366"/>
    </row>
    <row r="7712" spans="1:1" x14ac:dyDescent="0.2">
      <c r="A7712" s="366"/>
    </row>
    <row r="7713" spans="1:1" x14ac:dyDescent="0.2">
      <c r="A7713" s="366"/>
    </row>
    <row r="7714" spans="1:1" x14ac:dyDescent="0.2">
      <c r="A7714" s="366"/>
    </row>
    <row r="7715" spans="1:1" x14ac:dyDescent="0.2">
      <c r="A7715" s="366"/>
    </row>
    <row r="7716" spans="1:1" x14ac:dyDescent="0.2">
      <c r="A7716" s="366"/>
    </row>
    <row r="7717" spans="1:1" x14ac:dyDescent="0.2">
      <c r="A7717" s="366"/>
    </row>
    <row r="7718" spans="1:1" x14ac:dyDescent="0.2">
      <c r="A7718" s="366"/>
    </row>
    <row r="7719" spans="1:1" x14ac:dyDescent="0.2">
      <c r="A7719" s="366"/>
    </row>
    <row r="7720" spans="1:1" x14ac:dyDescent="0.2">
      <c r="A7720" s="366"/>
    </row>
    <row r="7721" spans="1:1" x14ac:dyDescent="0.2">
      <c r="A7721" s="366"/>
    </row>
    <row r="7722" spans="1:1" x14ac:dyDescent="0.2">
      <c r="A7722" s="366"/>
    </row>
    <row r="7723" spans="1:1" x14ac:dyDescent="0.2">
      <c r="A7723" s="366"/>
    </row>
    <row r="7724" spans="1:1" x14ac:dyDescent="0.2">
      <c r="A7724" s="366"/>
    </row>
    <row r="7725" spans="1:1" x14ac:dyDescent="0.2">
      <c r="A7725" s="366"/>
    </row>
    <row r="7726" spans="1:1" x14ac:dyDescent="0.2">
      <c r="A7726" s="366"/>
    </row>
    <row r="7727" spans="1:1" x14ac:dyDescent="0.2">
      <c r="A7727" s="366"/>
    </row>
    <row r="7728" spans="1:1" x14ac:dyDescent="0.2">
      <c r="A7728" s="366"/>
    </row>
    <row r="7729" spans="1:1" x14ac:dyDescent="0.2">
      <c r="A7729" s="366"/>
    </row>
    <row r="7730" spans="1:1" x14ac:dyDescent="0.2">
      <c r="A7730" s="366"/>
    </row>
    <row r="7731" spans="1:1" x14ac:dyDescent="0.2">
      <c r="A7731" s="366"/>
    </row>
    <row r="7732" spans="1:1" x14ac:dyDescent="0.2">
      <c r="A7732" s="366"/>
    </row>
    <row r="7733" spans="1:1" x14ac:dyDescent="0.2">
      <c r="A7733" s="366"/>
    </row>
    <row r="7734" spans="1:1" x14ac:dyDescent="0.2">
      <c r="A7734" s="366"/>
    </row>
    <row r="7735" spans="1:1" x14ac:dyDescent="0.2">
      <c r="A7735" s="366"/>
    </row>
    <row r="7736" spans="1:1" x14ac:dyDescent="0.2">
      <c r="A7736" s="366"/>
    </row>
    <row r="7737" spans="1:1" x14ac:dyDescent="0.2">
      <c r="A7737" s="366"/>
    </row>
    <row r="7738" spans="1:1" x14ac:dyDescent="0.2">
      <c r="A7738" s="366"/>
    </row>
    <row r="7739" spans="1:1" x14ac:dyDescent="0.2">
      <c r="A7739" s="366"/>
    </row>
    <row r="7740" spans="1:1" x14ac:dyDescent="0.2">
      <c r="A7740" s="366"/>
    </row>
    <row r="7741" spans="1:1" x14ac:dyDescent="0.2">
      <c r="A7741" s="366"/>
    </row>
    <row r="7742" spans="1:1" x14ac:dyDescent="0.2">
      <c r="A7742" s="366"/>
    </row>
    <row r="7743" spans="1:1" x14ac:dyDescent="0.2">
      <c r="A7743" s="366"/>
    </row>
    <row r="7744" spans="1:1" x14ac:dyDescent="0.2">
      <c r="A7744" s="366"/>
    </row>
    <row r="7745" spans="1:1" x14ac:dyDescent="0.2">
      <c r="A7745" s="366"/>
    </row>
    <row r="7746" spans="1:1" x14ac:dyDescent="0.2">
      <c r="A7746" s="366"/>
    </row>
    <row r="7747" spans="1:1" x14ac:dyDescent="0.2">
      <c r="A7747" s="366"/>
    </row>
    <row r="7748" spans="1:1" x14ac:dyDescent="0.2">
      <c r="A7748" s="366"/>
    </row>
    <row r="7749" spans="1:1" x14ac:dyDescent="0.2">
      <c r="A7749" s="366"/>
    </row>
    <row r="7750" spans="1:1" x14ac:dyDescent="0.2">
      <c r="A7750" s="366"/>
    </row>
    <row r="7751" spans="1:1" x14ac:dyDescent="0.2">
      <c r="A7751" s="366"/>
    </row>
    <row r="7752" spans="1:1" x14ac:dyDescent="0.2">
      <c r="A7752" s="366"/>
    </row>
    <row r="7753" spans="1:1" x14ac:dyDescent="0.2">
      <c r="A7753" s="366"/>
    </row>
    <row r="7754" spans="1:1" x14ac:dyDescent="0.2">
      <c r="A7754" s="366"/>
    </row>
    <row r="7755" spans="1:1" x14ac:dyDescent="0.2">
      <c r="A7755" s="366"/>
    </row>
    <row r="7756" spans="1:1" x14ac:dyDescent="0.2">
      <c r="A7756" s="366"/>
    </row>
    <row r="7757" spans="1:1" x14ac:dyDescent="0.2">
      <c r="A7757" s="366"/>
    </row>
    <row r="7758" spans="1:1" x14ac:dyDescent="0.2">
      <c r="A7758" s="366"/>
    </row>
    <row r="7759" spans="1:1" x14ac:dyDescent="0.2">
      <c r="A7759" s="366"/>
    </row>
    <row r="7760" spans="1:1" x14ac:dyDescent="0.2">
      <c r="A7760" s="366"/>
    </row>
    <row r="7761" spans="1:1" x14ac:dyDescent="0.2">
      <c r="A7761" s="366"/>
    </row>
    <row r="7762" spans="1:1" x14ac:dyDescent="0.2">
      <c r="A7762" s="366"/>
    </row>
    <row r="7763" spans="1:1" x14ac:dyDescent="0.2">
      <c r="A7763" s="366"/>
    </row>
    <row r="7764" spans="1:1" x14ac:dyDescent="0.2">
      <c r="A7764" s="366"/>
    </row>
    <row r="7765" spans="1:1" x14ac:dyDescent="0.2">
      <c r="A7765" s="366"/>
    </row>
    <row r="7766" spans="1:1" x14ac:dyDescent="0.2">
      <c r="A7766" s="366"/>
    </row>
    <row r="7767" spans="1:1" x14ac:dyDescent="0.2">
      <c r="A7767" s="366"/>
    </row>
    <row r="7768" spans="1:1" x14ac:dyDescent="0.2">
      <c r="A7768" s="366"/>
    </row>
    <row r="7769" spans="1:1" x14ac:dyDescent="0.2">
      <c r="A7769" s="366"/>
    </row>
    <row r="7770" spans="1:1" x14ac:dyDescent="0.2">
      <c r="A7770" s="366"/>
    </row>
    <row r="7771" spans="1:1" x14ac:dyDescent="0.2">
      <c r="A7771" s="366"/>
    </row>
    <row r="7772" spans="1:1" x14ac:dyDescent="0.2">
      <c r="A7772" s="366"/>
    </row>
    <row r="7773" spans="1:1" x14ac:dyDescent="0.2">
      <c r="A7773" s="366"/>
    </row>
    <row r="7774" spans="1:1" x14ac:dyDescent="0.2">
      <c r="A7774" s="366"/>
    </row>
    <row r="7775" spans="1:1" x14ac:dyDescent="0.2">
      <c r="A7775" s="366"/>
    </row>
    <row r="7776" spans="1:1" x14ac:dyDescent="0.2">
      <c r="A7776" s="366"/>
    </row>
    <row r="7777" spans="1:1" x14ac:dyDescent="0.2">
      <c r="A7777" s="366"/>
    </row>
    <row r="7778" spans="1:1" x14ac:dyDescent="0.2">
      <c r="A7778" s="366"/>
    </row>
    <row r="7779" spans="1:1" x14ac:dyDescent="0.2">
      <c r="A7779" s="366"/>
    </row>
    <row r="7780" spans="1:1" x14ac:dyDescent="0.2">
      <c r="A7780" s="366"/>
    </row>
    <row r="7781" spans="1:1" x14ac:dyDescent="0.2">
      <c r="A7781" s="366"/>
    </row>
    <row r="7782" spans="1:1" x14ac:dyDescent="0.2">
      <c r="A7782" s="366"/>
    </row>
    <row r="7783" spans="1:1" x14ac:dyDescent="0.2">
      <c r="A7783" s="366"/>
    </row>
    <row r="7784" spans="1:1" x14ac:dyDescent="0.2">
      <c r="A7784" s="366"/>
    </row>
    <row r="7785" spans="1:1" x14ac:dyDescent="0.2">
      <c r="A7785" s="366"/>
    </row>
    <row r="7786" spans="1:1" x14ac:dyDescent="0.2">
      <c r="A7786" s="366"/>
    </row>
    <row r="7787" spans="1:1" x14ac:dyDescent="0.2">
      <c r="A7787" s="366"/>
    </row>
    <row r="7788" spans="1:1" x14ac:dyDescent="0.2">
      <c r="A7788" s="366"/>
    </row>
    <row r="7789" spans="1:1" x14ac:dyDescent="0.2">
      <c r="A7789" s="366"/>
    </row>
    <row r="7790" spans="1:1" x14ac:dyDescent="0.2">
      <c r="A7790" s="366"/>
    </row>
    <row r="7791" spans="1:1" x14ac:dyDescent="0.2">
      <c r="A7791" s="366"/>
    </row>
    <row r="7792" spans="1:1" x14ac:dyDescent="0.2">
      <c r="A7792" s="366"/>
    </row>
    <row r="7793" spans="1:1" x14ac:dyDescent="0.2">
      <c r="A7793" s="366"/>
    </row>
    <row r="7794" spans="1:1" x14ac:dyDescent="0.2">
      <c r="A7794" s="366"/>
    </row>
    <row r="7795" spans="1:1" x14ac:dyDescent="0.2">
      <c r="A7795" s="366"/>
    </row>
    <row r="7796" spans="1:1" x14ac:dyDescent="0.2">
      <c r="A7796" s="366"/>
    </row>
    <row r="7797" spans="1:1" x14ac:dyDescent="0.2">
      <c r="A7797" s="366"/>
    </row>
    <row r="7798" spans="1:1" x14ac:dyDescent="0.2">
      <c r="A7798" s="366"/>
    </row>
    <row r="7799" spans="1:1" x14ac:dyDescent="0.2">
      <c r="A7799" s="366"/>
    </row>
    <row r="7800" spans="1:1" x14ac:dyDescent="0.2">
      <c r="A7800" s="366"/>
    </row>
    <row r="7801" spans="1:1" x14ac:dyDescent="0.2">
      <c r="A7801" s="366"/>
    </row>
    <row r="7802" spans="1:1" x14ac:dyDescent="0.2">
      <c r="A7802" s="366"/>
    </row>
    <row r="7803" spans="1:1" x14ac:dyDescent="0.2">
      <c r="A7803" s="366"/>
    </row>
    <row r="7804" spans="1:1" x14ac:dyDescent="0.2">
      <c r="A7804" s="366"/>
    </row>
    <row r="7805" spans="1:1" x14ac:dyDescent="0.2">
      <c r="A7805" s="366"/>
    </row>
    <row r="7806" spans="1:1" x14ac:dyDescent="0.2">
      <c r="A7806" s="366"/>
    </row>
    <row r="7807" spans="1:1" x14ac:dyDescent="0.2">
      <c r="A7807" s="366"/>
    </row>
    <row r="7808" spans="1:1" x14ac:dyDescent="0.2">
      <c r="A7808" s="366"/>
    </row>
    <row r="7809" spans="1:1" x14ac:dyDescent="0.2">
      <c r="A7809" s="366"/>
    </row>
    <row r="7810" spans="1:1" x14ac:dyDescent="0.2">
      <c r="A7810" s="366"/>
    </row>
    <row r="7811" spans="1:1" x14ac:dyDescent="0.2">
      <c r="A7811" s="366"/>
    </row>
    <row r="7812" spans="1:1" x14ac:dyDescent="0.2">
      <c r="A7812" s="366"/>
    </row>
    <row r="7813" spans="1:1" x14ac:dyDescent="0.2">
      <c r="A7813" s="366"/>
    </row>
    <row r="7814" spans="1:1" x14ac:dyDescent="0.2">
      <c r="A7814" s="366"/>
    </row>
    <row r="7815" spans="1:1" x14ac:dyDescent="0.2">
      <c r="A7815" s="366"/>
    </row>
    <row r="7816" spans="1:1" x14ac:dyDescent="0.2">
      <c r="A7816" s="366"/>
    </row>
    <row r="7817" spans="1:1" x14ac:dyDescent="0.2">
      <c r="A7817" s="366"/>
    </row>
    <row r="7818" spans="1:1" x14ac:dyDescent="0.2">
      <c r="A7818" s="366"/>
    </row>
    <row r="7819" spans="1:1" x14ac:dyDescent="0.2">
      <c r="A7819" s="366"/>
    </row>
    <row r="7820" spans="1:1" x14ac:dyDescent="0.2">
      <c r="A7820" s="366"/>
    </row>
    <row r="7821" spans="1:1" x14ac:dyDescent="0.2">
      <c r="A7821" s="366"/>
    </row>
    <row r="7822" spans="1:1" x14ac:dyDescent="0.2">
      <c r="A7822" s="366"/>
    </row>
    <row r="7823" spans="1:1" x14ac:dyDescent="0.2">
      <c r="A7823" s="366"/>
    </row>
    <row r="7824" spans="1:1" x14ac:dyDescent="0.2">
      <c r="A7824" s="366"/>
    </row>
    <row r="7825" spans="1:1" x14ac:dyDescent="0.2">
      <c r="A7825" s="366"/>
    </row>
    <row r="7826" spans="1:1" x14ac:dyDescent="0.2">
      <c r="A7826" s="366"/>
    </row>
    <row r="7827" spans="1:1" x14ac:dyDescent="0.2">
      <c r="A7827" s="366"/>
    </row>
    <row r="7828" spans="1:1" x14ac:dyDescent="0.2">
      <c r="A7828" s="366"/>
    </row>
    <row r="7829" spans="1:1" x14ac:dyDescent="0.2">
      <c r="A7829" s="366"/>
    </row>
    <row r="7830" spans="1:1" x14ac:dyDescent="0.2">
      <c r="A7830" s="366"/>
    </row>
    <row r="7831" spans="1:1" x14ac:dyDescent="0.2">
      <c r="A7831" s="366"/>
    </row>
    <row r="7832" spans="1:1" x14ac:dyDescent="0.2">
      <c r="A7832" s="366"/>
    </row>
    <row r="7833" spans="1:1" x14ac:dyDescent="0.2">
      <c r="A7833" s="366"/>
    </row>
    <row r="7834" spans="1:1" x14ac:dyDescent="0.2">
      <c r="A7834" s="366"/>
    </row>
    <row r="7835" spans="1:1" x14ac:dyDescent="0.2">
      <c r="A7835" s="366"/>
    </row>
    <row r="7836" spans="1:1" x14ac:dyDescent="0.2">
      <c r="A7836" s="366"/>
    </row>
    <row r="7837" spans="1:1" x14ac:dyDescent="0.2">
      <c r="A7837" s="366"/>
    </row>
    <row r="7838" spans="1:1" x14ac:dyDescent="0.2">
      <c r="A7838" s="366"/>
    </row>
    <row r="7839" spans="1:1" x14ac:dyDescent="0.2">
      <c r="A7839" s="366"/>
    </row>
    <row r="7840" spans="1:1" x14ac:dyDescent="0.2">
      <c r="A7840" s="366"/>
    </row>
    <row r="7841" spans="1:1" x14ac:dyDescent="0.2">
      <c r="A7841" s="366"/>
    </row>
    <row r="7842" spans="1:1" x14ac:dyDescent="0.2">
      <c r="A7842" s="366"/>
    </row>
    <row r="7843" spans="1:1" x14ac:dyDescent="0.2">
      <c r="A7843" s="366"/>
    </row>
    <row r="7844" spans="1:1" x14ac:dyDescent="0.2">
      <c r="A7844" s="366"/>
    </row>
    <row r="7845" spans="1:1" x14ac:dyDescent="0.2">
      <c r="A7845" s="366"/>
    </row>
    <row r="7846" spans="1:1" x14ac:dyDescent="0.2">
      <c r="A7846" s="366"/>
    </row>
    <row r="7847" spans="1:1" x14ac:dyDescent="0.2">
      <c r="A7847" s="366"/>
    </row>
    <row r="7848" spans="1:1" x14ac:dyDescent="0.2">
      <c r="A7848" s="366"/>
    </row>
    <row r="7849" spans="1:1" x14ac:dyDescent="0.2">
      <c r="A7849" s="366"/>
    </row>
    <row r="7850" spans="1:1" x14ac:dyDescent="0.2">
      <c r="A7850" s="366"/>
    </row>
    <row r="7851" spans="1:1" x14ac:dyDescent="0.2">
      <c r="A7851" s="366"/>
    </row>
    <row r="7852" spans="1:1" x14ac:dyDescent="0.2">
      <c r="A7852" s="366"/>
    </row>
    <row r="7853" spans="1:1" x14ac:dyDescent="0.2">
      <c r="A7853" s="366"/>
    </row>
    <row r="7854" spans="1:1" x14ac:dyDescent="0.2">
      <c r="A7854" s="366"/>
    </row>
    <row r="7855" spans="1:1" x14ac:dyDescent="0.2">
      <c r="A7855" s="366"/>
    </row>
    <row r="7856" spans="1:1" x14ac:dyDescent="0.2">
      <c r="A7856" s="366"/>
    </row>
    <row r="7857" spans="1:1" x14ac:dyDescent="0.2">
      <c r="A7857" s="366"/>
    </row>
    <row r="7858" spans="1:1" x14ac:dyDescent="0.2">
      <c r="A7858" s="366"/>
    </row>
    <row r="7859" spans="1:1" x14ac:dyDescent="0.2">
      <c r="A7859" s="366"/>
    </row>
    <row r="7860" spans="1:1" x14ac:dyDescent="0.2">
      <c r="A7860" s="366"/>
    </row>
    <row r="7861" spans="1:1" x14ac:dyDescent="0.2">
      <c r="A7861" s="366"/>
    </row>
    <row r="7862" spans="1:1" x14ac:dyDescent="0.2">
      <c r="A7862" s="366"/>
    </row>
    <row r="7863" spans="1:1" x14ac:dyDescent="0.2">
      <c r="A7863" s="366"/>
    </row>
    <row r="7864" spans="1:1" x14ac:dyDescent="0.2">
      <c r="A7864" s="366"/>
    </row>
    <row r="7865" spans="1:1" x14ac:dyDescent="0.2">
      <c r="A7865" s="366"/>
    </row>
    <row r="7866" spans="1:1" x14ac:dyDescent="0.2">
      <c r="A7866" s="366"/>
    </row>
    <row r="7867" spans="1:1" x14ac:dyDescent="0.2">
      <c r="A7867" s="366"/>
    </row>
    <row r="7868" spans="1:1" x14ac:dyDescent="0.2">
      <c r="A7868" s="366"/>
    </row>
    <row r="7869" spans="1:1" x14ac:dyDescent="0.2">
      <c r="A7869" s="366"/>
    </row>
    <row r="7870" spans="1:1" x14ac:dyDescent="0.2">
      <c r="A7870" s="366"/>
    </row>
    <row r="7871" spans="1:1" x14ac:dyDescent="0.2">
      <c r="A7871" s="366"/>
    </row>
    <row r="7872" spans="1:1" x14ac:dyDescent="0.2">
      <c r="A7872" s="366"/>
    </row>
    <row r="7873" spans="1:1" x14ac:dyDescent="0.2">
      <c r="A7873" s="366"/>
    </row>
    <row r="7874" spans="1:1" x14ac:dyDescent="0.2">
      <c r="A7874" s="366"/>
    </row>
    <row r="7875" spans="1:1" x14ac:dyDescent="0.2">
      <c r="A7875" s="366"/>
    </row>
    <row r="7876" spans="1:1" x14ac:dyDescent="0.2">
      <c r="A7876" s="366"/>
    </row>
    <row r="7877" spans="1:1" x14ac:dyDescent="0.2">
      <c r="A7877" s="366"/>
    </row>
    <row r="7878" spans="1:1" x14ac:dyDescent="0.2">
      <c r="A7878" s="366"/>
    </row>
    <row r="7879" spans="1:1" x14ac:dyDescent="0.2">
      <c r="A7879" s="366"/>
    </row>
    <row r="7880" spans="1:1" x14ac:dyDescent="0.2">
      <c r="A7880" s="366"/>
    </row>
    <row r="7881" spans="1:1" x14ac:dyDescent="0.2">
      <c r="A7881" s="366"/>
    </row>
    <row r="7882" spans="1:1" x14ac:dyDescent="0.2">
      <c r="A7882" s="366"/>
    </row>
    <row r="7883" spans="1:1" x14ac:dyDescent="0.2">
      <c r="A7883" s="366"/>
    </row>
    <row r="7884" spans="1:1" x14ac:dyDescent="0.2">
      <c r="A7884" s="366"/>
    </row>
    <row r="7885" spans="1:1" x14ac:dyDescent="0.2">
      <c r="A7885" s="366"/>
    </row>
    <row r="7886" spans="1:1" x14ac:dyDescent="0.2">
      <c r="A7886" s="366"/>
    </row>
    <row r="7887" spans="1:1" x14ac:dyDescent="0.2">
      <c r="A7887" s="366"/>
    </row>
    <row r="7888" spans="1:1" x14ac:dyDescent="0.2">
      <c r="A7888" s="366"/>
    </row>
    <row r="7889" spans="1:1" x14ac:dyDescent="0.2">
      <c r="A7889" s="366"/>
    </row>
    <row r="7890" spans="1:1" x14ac:dyDescent="0.2">
      <c r="A7890" s="366"/>
    </row>
    <row r="7891" spans="1:1" x14ac:dyDescent="0.2">
      <c r="A7891" s="366"/>
    </row>
    <row r="7892" spans="1:1" x14ac:dyDescent="0.2">
      <c r="A7892" s="366"/>
    </row>
    <row r="7893" spans="1:1" x14ac:dyDescent="0.2">
      <c r="A7893" s="366"/>
    </row>
    <row r="7894" spans="1:1" x14ac:dyDescent="0.2">
      <c r="A7894" s="366"/>
    </row>
    <row r="7895" spans="1:1" x14ac:dyDescent="0.2">
      <c r="A7895" s="366"/>
    </row>
    <row r="7896" spans="1:1" x14ac:dyDescent="0.2">
      <c r="A7896" s="366"/>
    </row>
    <row r="7897" spans="1:1" x14ac:dyDescent="0.2">
      <c r="A7897" s="366"/>
    </row>
    <row r="7898" spans="1:1" x14ac:dyDescent="0.2">
      <c r="A7898" s="366"/>
    </row>
    <row r="7899" spans="1:1" x14ac:dyDescent="0.2">
      <c r="A7899" s="366"/>
    </row>
    <row r="7900" spans="1:1" x14ac:dyDescent="0.2">
      <c r="A7900" s="366"/>
    </row>
    <row r="7901" spans="1:1" x14ac:dyDescent="0.2">
      <c r="A7901" s="366"/>
    </row>
    <row r="7902" spans="1:1" x14ac:dyDescent="0.2">
      <c r="A7902" s="366"/>
    </row>
    <row r="7903" spans="1:1" x14ac:dyDescent="0.2">
      <c r="A7903" s="366"/>
    </row>
    <row r="7904" spans="1:1" x14ac:dyDescent="0.2">
      <c r="A7904" s="366"/>
    </row>
    <row r="7905" spans="1:1" x14ac:dyDescent="0.2">
      <c r="A7905" s="366"/>
    </row>
    <row r="7906" spans="1:1" x14ac:dyDescent="0.2">
      <c r="A7906" s="366"/>
    </row>
    <row r="7907" spans="1:1" x14ac:dyDescent="0.2">
      <c r="A7907" s="366"/>
    </row>
    <row r="7908" spans="1:1" x14ac:dyDescent="0.2">
      <c r="A7908" s="366"/>
    </row>
    <row r="7909" spans="1:1" x14ac:dyDescent="0.2">
      <c r="A7909" s="366"/>
    </row>
    <row r="7910" spans="1:1" x14ac:dyDescent="0.2">
      <c r="A7910" s="366"/>
    </row>
    <row r="7911" spans="1:1" x14ac:dyDescent="0.2">
      <c r="A7911" s="366"/>
    </row>
    <row r="7912" spans="1:1" x14ac:dyDescent="0.2">
      <c r="A7912" s="366"/>
    </row>
    <row r="7913" spans="1:1" x14ac:dyDescent="0.2">
      <c r="A7913" s="366"/>
    </row>
    <row r="7914" spans="1:1" x14ac:dyDescent="0.2">
      <c r="A7914" s="366"/>
    </row>
    <row r="7915" spans="1:1" x14ac:dyDescent="0.2">
      <c r="A7915" s="366"/>
    </row>
    <row r="7916" spans="1:1" x14ac:dyDescent="0.2">
      <c r="A7916" s="366"/>
    </row>
    <row r="7917" spans="1:1" x14ac:dyDescent="0.2">
      <c r="A7917" s="366"/>
    </row>
    <row r="7918" spans="1:1" x14ac:dyDescent="0.2">
      <c r="A7918" s="366"/>
    </row>
    <row r="7919" spans="1:1" x14ac:dyDescent="0.2">
      <c r="A7919" s="366"/>
    </row>
    <row r="7920" spans="1:1" x14ac:dyDescent="0.2">
      <c r="A7920" s="366"/>
    </row>
    <row r="7921" spans="1:1" x14ac:dyDescent="0.2">
      <c r="A7921" s="366"/>
    </row>
    <row r="7922" spans="1:1" x14ac:dyDescent="0.2">
      <c r="A7922" s="366"/>
    </row>
    <row r="7923" spans="1:1" x14ac:dyDescent="0.2">
      <c r="A7923" s="366"/>
    </row>
    <row r="7924" spans="1:1" x14ac:dyDescent="0.2">
      <c r="A7924" s="366"/>
    </row>
    <row r="7925" spans="1:1" x14ac:dyDescent="0.2">
      <c r="A7925" s="366"/>
    </row>
    <row r="7926" spans="1:1" x14ac:dyDescent="0.2">
      <c r="A7926" s="366"/>
    </row>
    <row r="7927" spans="1:1" x14ac:dyDescent="0.2">
      <c r="A7927" s="366"/>
    </row>
    <row r="7928" spans="1:1" x14ac:dyDescent="0.2">
      <c r="A7928" s="366"/>
    </row>
    <row r="7929" spans="1:1" x14ac:dyDescent="0.2">
      <c r="A7929" s="366"/>
    </row>
    <row r="7930" spans="1:1" x14ac:dyDescent="0.2">
      <c r="A7930" s="366"/>
    </row>
    <row r="7931" spans="1:1" x14ac:dyDescent="0.2">
      <c r="A7931" s="366"/>
    </row>
    <row r="7932" spans="1:1" x14ac:dyDescent="0.2">
      <c r="A7932" s="366"/>
    </row>
    <row r="7933" spans="1:1" x14ac:dyDescent="0.2">
      <c r="A7933" s="366"/>
    </row>
    <row r="7934" spans="1:1" x14ac:dyDescent="0.2">
      <c r="A7934" s="366"/>
    </row>
    <row r="7935" spans="1:1" x14ac:dyDescent="0.2">
      <c r="A7935" s="366"/>
    </row>
    <row r="7936" spans="1:1" x14ac:dyDescent="0.2">
      <c r="A7936" s="366"/>
    </row>
    <row r="7937" spans="1:1" x14ac:dyDescent="0.2">
      <c r="A7937" s="366"/>
    </row>
    <row r="7938" spans="1:1" x14ac:dyDescent="0.2">
      <c r="A7938" s="366"/>
    </row>
    <row r="7939" spans="1:1" x14ac:dyDescent="0.2">
      <c r="A7939" s="366"/>
    </row>
    <row r="7940" spans="1:1" x14ac:dyDescent="0.2">
      <c r="A7940" s="366"/>
    </row>
    <row r="7941" spans="1:1" x14ac:dyDescent="0.2">
      <c r="A7941" s="366"/>
    </row>
    <row r="7942" spans="1:1" x14ac:dyDescent="0.2">
      <c r="A7942" s="366"/>
    </row>
    <row r="7943" spans="1:1" x14ac:dyDescent="0.2">
      <c r="A7943" s="366"/>
    </row>
    <row r="7944" spans="1:1" x14ac:dyDescent="0.2">
      <c r="A7944" s="366"/>
    </row>
    <row r="7945" spans="1:1" x14ac:dyDescent="0.2">
      <c r="A7945" s="366"/>
    </row>
    <row r="7946" spans="1:1" x14ac:dyDescent="0.2">
      <c r="A7946" s="366"/>
    </row>
    <row r="7947" spans="1:1" x14ac:dyDescent="0.2">
      <c r="A7947" s="366"/>
    </row>
    <row r="7948" spans="1:1" x14ac:dyDescent="0.2">
      <c r="A7948" s="366"/>
    </row>
    <row r="7949" spans="1:1" x14ac:dyDescent="0.2">
      <c r="A7949" s="366"/>
    </row>
    <row r="7950" spans="1:1" x14ac:dyDescent="0.2">
      <c r="A7950" s="366"/>
    </row>
    <row r="7951" spans="1:1" x14ac:dyDescent="0.2">
      <c r="A7951" s="366"/>
    </row>
    <row r="7952" spans="1:1" x14ac:dyDescent="0.2">
      <c r="A7952" s="366"/>
    </row>
    <row r="7953" spans="1:1" x14ac:dyDescent="0.2">
      <c r="A7953" s="366"/>
    </row>
    <row r="7954" spans="1:1" x14ac:dyDescent="0.2">
      <c r="A7954" s="366"/>
    </row>
    <row r="7955" spans="1:1" x14ac:dyDescent="0.2">
      <c r="A7955" s="366"/>
    </row>
    <row r="7956" spans="1:1" x14ac:dyDescent="0.2">
      <c r="A7956" s="366"/>
    </row>
    <row r="7957" spans="1:1" x14ac:dyDescent="0.2">
      <c r="A7957" s="366"/>
    </row>
    <row r="7958" spans="1:1" x14ac:dyDescent="0.2">
      <c r="A7958" s="366"/>
    </row>
    <row r="7959" spans="1:1" x14ac:dyDescent="0.2">
      <c r="A7959" s="366"/>
    </row>
    <row r="7960" spans="1:1" x14ac:dyDescent="0.2">
      <c r="A7960" s="366"/>
    </row>
    <row r="7961" spans="1:1" x14ac:dyDescent="0.2">
      <c r="A7961" s="366"/>
    </row>
    <row r="7962" spans="1:1" x14ac:dyDescent="0.2">
      <c r="A7962" s="366"/>
    </row>
    <row r="7963" spans="1:1" x14ac:dyDescent="0.2">
      <c r="A7963" s="366"/>
    </row>
    <row r="7964" spans="1:1" x14ac:dyDescent="0.2">
      <c r="A7964" s="366"/>
    </row>
    <row r="7965" spans="1:1" x14ac:dyDescent="0.2">
      <c r="A7965" s="366"/>
    </row>
    <row r="7966" spans="1:1" x14ac:dyDescent="0.2">
      <c r="A7966" s="366"/>
    </row>
    <row r="7967" spans="1:1" x14ac:dyDescent="0.2">
      <c r="A7967" s="366"/>
    </row>
    <row r="7968" spans="1:1" x14ac:dyDescent="0.2">
      <c r="A7968" s="366"/>
    </row>
    <row r="7969" spans="1:1" x14ac:dyDescent="0.2">
      <c r="A7969" s="366"/>
    </row>
    <row r="7970" spans="1:1" x14ac:dyDescent="0.2">
      <c r="A7970" s="366"/>
    </row>
    <row r="7971" spans="1:1" x14ac:dyDescent="0.2">
      <c r="A7971" s="366"/>
    </row>
    <row r="7972" spans="1:1" x14ac:dyDescent="0.2">
      <c r="A7972" s="366"/>
    </row>
    <row r="7973" spans="1:1" x14ac:dyDescent="0.2">
      <c r="A7973" s="366"/>
    </row>
    <row r="7974" spans="1:1" x14ac:dyDescent="0.2">
      <c r="A7974" s="366"/>
    </row>
    <row r="7975" spans="1:1" x14ac:dyDescent="0.2">
      <c r="A7975" s="366"/>
    </row>
    <row r="7976" spans="1:1" x14ac:dyDescent="0.2">
      <c r="A7976" s="366"/>
    </row>
    <row r="7977" spans="1:1" x14ac:dyDescent="0.2">
      <c r="A7977" s="366"/>
    </row>
    <row r="7978" spans="1:1" x14ac:dyDescent="0.2">
      <c r="A7978" s="366"/>
    </row>
    <row r="7979" spans="1:1" x14ac:dyDescent="0.2">
      <c r="A7979" s="366"/>
    </row>
    <row r="7980" spans="1:1" x14ac:dyDescent="0.2">
      <c r="A7980" s="366"/>
    </row>
    <row r="7981" spans="1:1" x14ac:dyDescent="0.2">
      <c r="A7981" s="366"/>
    </row>
    <row r="7982" spans="1:1" x14ac:dyDescent="0.2">
      <c r="A7982" s="366"/>
    </row>
    <row r="7983" spans="1:1" x14ac:dyDescent="0.2">
      <c r="A7983" s="366"/>
    </row>
    <row r="7984" spans="1:1" x14ac:dyDescent="0.2">
      <c r="A7984" s="366"/>
    </row>
    <row r="7985" spans="1:1" x14ac:dyDescent="0.2">
      <c r="A7985" s="366"/>
    </row>
    <row r="7986" spans="1:1" x14ac:dyDescent="0.2">
      <c r="A7986" s="366"/>
    </row>
    <row r="7987" spans="1:1" x14ac:dyDescent="0.2">
      <c r="A7987" s="366"/>
    </row>
    <row r="7988" spans="1:1" x14ac:dyDescent="0.2">
      <c r="A7988" s="366"/>
    </row>
    <row r="7989" spans="1:1" x14ac:dyDescent="0.2">
      <c r="A7989" s="366"/>
    </row>
    <row r="7990" spans="1:1" x14ac:dyDescent="0.2">
      <c r="A7990" s="366"/>
    </row>
    <row r="7991" spans="1:1" x14ac:dyDescent="0.2">
      <c r="A7991" s="366"/>
    </row>
    <row r="7992" spans="1:1" x14ac:dyDescent="0.2">
      <c r="A7992" s="366"/>
    </row>
    <row r="7993" spans="1:1" x14ac:dyDescent="0.2">
      <c r="A7993" s="366"/>
    </row>
    <row r="7994" spans="1:1" x14ac:dyDescent="0.2">
      <c r="A7994" s="366"/>
    </row>
    <row r="7995" spans="1:1" x14ac:dyDescent="0.2">
      <c r="A7995" s="366"/>
    </row>
    <row r="7996" spans="1:1" x14ac:dyDescent="0.2">
      <c r="A7996" s="366"/>
    </row>
    <row r="7997" spans="1:1" x14ac:dyDescent="0.2">
      <c r="A7997" s="366"/>
    </row>
    <row r="7998" spans="1:1" x14ac:dyDescent="0.2">
      <c r="A7998" s="366"/>
    </row>
    <row r="7999" spans="1:1" x14ac:dyDescent="0.2">
      <c r="A7999" s="366"/>
    </row>
    <row r="8000" spans="1:1" x14ac:dyDescent="0.2">
      <c r="A8000" s="366"/>
    </row>
    <row r="8001" spans="1:1" x14ac:dyDescent="0.2">
      <c r="A8001" s="366"/>
    </row>
    <row r="8002" spans="1:1" x14ac:dyDescent="0.2">
      <c r="A8002" s="366"/>
    </row>
    <row r="8003" spans="1:1" x14ac:dyDescent="0.2">
      <c r="A8003" s="366"/>
    </row>
    <row r="8004" spans="1:1" x14ac:dyDescent="0.2">
      <c r="A8004" s="366"/>
    </row>
    <row r="8005" spans="1:1" x14ac:dyDescent="0.2">
      <c r="A8005" s="366"/>
    </row>
    <row r="8006" spans="1:1" x14ac:dyDescent="0.2">
      <c r="A8006" s="366"/>
    </row>
    <row r="8007" spans="1:1" x14ac:dyDescent="0.2">
      <c r="A8007" s="366"/>
    </row>
    <row r="8008" spans="1:1" x14ac:dyDescent="0.2">
      <c r="A8008" s="366"/>
    </row>
    <row r="8009" spans="1:1" x14ac:dyDescent="0.2">
      <c r="A8009" s="366"/>
    </row>
    <row r="8010" spans="1:1" x14ac:dyDescent="0.2">
      <c r="A8010" s="366"/>
    </row>
    <row r="8011" spans="1:1" x14ac:dyDescent="0.2">
      <c r="A8011" s="366"/>
    </row>
    <row r="8012" spans="1:1" x14ac:dyDescent="0.2">
      <c r="A8012" s="366"/>
    </row>
    <row r="8013" spans="1:1" x14ac:dyDescent="0.2">
      <c r="A8013" s="366"/>
    </row>
    <row r="8014" spans="1:1" x14ac:dyDescent="0.2">
      <c r="A8014" s="366"/>
    </row>
    <row r="8015" spans="1:1" x14ac:dyDescent="0.2">
      <c r="A8015" s="366"/>
    </row>
    <row r="8016" spans="1:1" x14ac:dyDescent="0.2">
      <c r="A8016" s="366"/>
    </row>
    <row r="8017" spans="1:1" x14ac:dyDescent="0.2">
      <c r="A8017" s="366"/>
    </row>
    <row r="8018" spans="1:1" x14ac:dyDescent="0.2">
      <c r="A8018" s="366"/>
    </row>
    <row r="8019" spans="1:1" x14ac:dyDescent="0.2">
      <c r="A8019" s="366"/>
    </row>
    <row r="8020" spans="1:1" x14ac:dyDescent="0.2">
      <c r="A8020" s="366"/>
    </row>
    <row r="8021" spans="1:1" x14ac:dyDescent="0.2">
      <c r="A8021" s="366"/>
    </row>
    <row r="8022" spans="1:1" x14ac:dyDescent="0.2">
      <c r="A8022" s="366"/>
    </row>
    <row r="8023" spans="1:1" x14ac:dyDescent="0.2">
      <c r="A8023" s="366"/>
    </row>
    <row r="8024" spans="1:1" x14ac:dyDescent="0.2">
      <c r="A8024" s="366"/>
    </row>
    <row r="8025" spans="1:1" x14ac:dyDescent="0.2">
      <c r="A8025" s="366"/>
    </row>
    <row r="8026" spans="1:1" x14ac:dyDescent="0.2">
      <c r="A8026" s="366"/>
    </row>
    <row r="8027" spans="1:1" x14ac:dyDescent="0.2">
      <c r="A8027" s="366"/>
    </row>
    <row r="8028" spans="1:1" x14ac:dyDescent="0.2">
      <c r="A8028" s="366"/>
    </row>
    <row r="8029" spans="1:1" x14ac:dyDescent="0.2">
      <c r="A8029" s="366"/>
    </row>
    <row r="8030" spans="1:1" x14ac:dyDescent="0.2">
      <c r="A8030" s="366"/>
    </row>
    <row r="8031" spans="1:1" x14ac:dyDescent="0.2">
      <c r="A8031" s="366"/>
    </row>
    <row r="8032" spans="1:1" x14ac:dyDescent="0.2">
      <c r="A8032" s="366"/>
    </row>
    <row r="8033" spans="1:1" x14ac:dyDescent="0.2">
      <c r="A8033" s="366"/>
    </row>
    <row r="8034" spans="1:1" x14ac:dyDescent="0.2">
      <c r="A8034" s="366"/>
    </row>
    <row r="8035" spans="1:1" x14ac:dyDescent="0.2">
      <c r="A8035" s="366"/>
    </row>
    <row r="8036" spans="1:1" x14ac:dyDescent="0.2">
      <c r="A8036" s="366"/>
    </row>
    <row r="8037" spans="1:1" x14ac:dyDescent="0.2">
      <c r="A8037" s="366"/>
    </row>
    <row r="8038" spans="1:1" x14ac:dyDescent="0.2">
      <c r="A8038" s="366"/>
    </row>
    <row r="8039" spans="1:1" x14ac:dyDescent="0.2">
      <c r="A8039" s="366"/>
    </row>
    <row r="8040" spans="1:1" x14ac:dyDescent="0.2">
      <c r="A8040" s="366"/>
    </row>
    <row r="8041" spans="1:1" x14ac:dyDescent="0.2">
      <c r="A8041" s="366"/>
    </row>
    <row r="8042" spans="1:1" x14ac:dyDescent="0.2">
      <c r="A8042" s="366"/>
    </row>
    <row r="8043" spans="1:1" x14ac:dyDescent="0.2">
      <c r="A8043" s="366"/>
    </row>
    <row r="8044" spans="1:1" x14ac:dyDescent="0.2">
      <c r="A8044" s="366"/>
    </row>
    <row r="8045" spans="1:1" x14ac:dyDescent="0.2">
      <c r="A8045" s="366"/>
    </row>
    <row r="8046" spans="1:1" x14ac:dyDescent="0.2">
      <c r="A8046" s="366"/>
    </row>
    <row r="8047" spans="1:1" x14ac:dyDescent="0.2">
      <c r="A8047" s="366"/>
    </row>
    <row r="8048" spans="1:1" x14ac:dyDescent="0.2">
      <c r="A8048" s="366"/>
    </row>
    <row r="8049" spans="1:1" x14ac:dyDescent="0.2">
      <c r="A8049" s="366"/>
    </row>
    <row r="8050" spans="1:1" x14ac:dyDescent="0.2">
      <c r="A8050" s="366"/>
    </row>
    <row r="8051" spans="1:1" x14ac:dyDescent="0.2">
      <c r="A8051" s="366"/>
    </row>
    <row r="8052" spans="1:1" x14ac:dyDescent="0.2">
      <c r="A8052" s="366"/>
    </row>
    <row r="8053" spans="1:1" x14ac:dyDescent="0.2">
      <c r="A8053" s="366"/>
    </row>
    <row r="8054" spans="1:1" x14ac:dyDescent="0.2">
      <c r="A8054" s="366"/>
    </row>
    <row r="8055" spans="1:1" x14ac:dyDescent="0.2">
      <c r="A8055" s="366"/>
    </row>
    <row r="8056" spans="1:1" x14ac:dyDescent="0.2">
      <c r="A8056" s="366"/>
    </row>
    <row r="8057" spans="1:1" x14ac:dyDescent="0.2">
      <c r="A8057" s="366"/>
    </row>
    <row r="8058" spans="1:1" x14ac:dyDescent="0.2">
      <c r="A8058" s="366"/>
    </row>
    <row r="8059" spans="1:1" x14ac:dyDescent="0.2">
      <c r="A8059" s="366"/>
    </row>
    <row r="8060" spans="1:1" x14ac:dyDescent="0.2">
      <c r="A8060" s="366"/>
    </row>
    <row r="8061" spans="1:1" x14ac:dyDescent="0.2">
      <c r="A8061" s="366"/>
    </row>
    <row r="8062" spans="1:1" x14ac:dyDescent="0.2">
      <c r="A8062" s="366"/>
    </row>
    <row r="8063" spans="1:1" x14ac:dyDescent="0.2">
      <c r="A8063" s="366"/>
    </row>
    <row r="8064" spans="1:1" x14ac:dyDescent="0.2">
      <c r="A8064" s="366"/>
    </row>
    <row r="8065" spans="1:1" x14ac:dyDescent="0.2">
      <c r="A8065" s="366"/>
    </row>
    <row r="8066" spans="1:1" x14ac:dyDescent="0.2">
      <c r="A8066" s="366"/>
    </row>
    <row r="8067" spans="1:1" x14ac:dyDescent="0.2">
      <c r="A8067" s="366"/>
    </row>
    <row r="8068" spans="1:1" x14ac:dyDescent="0.2">
      <c r="A8068" s="366"/>
    </row>
    <row r="8069" spans="1:1" x14ac:dyDescent="0.2">
      <c r="A8069" s="366"/>
    </row>
    <row r="8070" spans="1:1" x14ac:dyDescent="0.2">
      <c r="A8070" s="366"/>
    </row>
    <row r="8071" spans="1:1" x14ac:dyDescent="0.2">
      <c r="A8071" s="366"/>
    </row>
    <row r="8072" spans="1:1" x14ac:dyDescent="0.2">
      <c r="A8072" s="366"/>
    </row>
    <row r="8073" spans="1:1" x14ac:dyDescent="0.2">
      <c r="A8073" s="366"/>
    </row>
    <row r="8074" spans="1:1" x14ac:dyDescent="0.2">
      <c r="A8074" s="366"/>
    </row>
    <row r="8075" spans="1:1" x14ac:dyDescent="0.2">
      <c r="A8075" s="366"/>
    </row>
    <row r="8076" spans="1:1" x14ac:dyDescent="0.2">
      <c r="A8076" s="366"/>
    </row>
    <row r="8077" spans="1:1" x14ac:dyDescent="0.2">
      <c r="A8077" s="366"/>
    </row>
    <row r="8078" spans="1:1" x14ac:dyDescent="0.2">
      <c r="A8078" s="366"/>
    </row>
    <row r="8079" spans="1:1" x14ac:dyDescent="0.2">
      <c r="A8079" s="366"/>
    </row>
    <row r="8080" spans="1:1" x14ac:dyDescent="0.2">
      <c r="A8080" s="366"/>
    </row>
    <row r="8081" spans="1:1" x14ac:dyDescent="0.2">
      <c r="A8081" s="366"/>
    </row>
    <row r="8082" spans="1:1" x14ac:dyDescent="0.2">
      <c r="A8082" s="366"/>
    </row>
    <row r="8083" spans="1:1" x14ac:dyDescent="0.2">
      <c r="A8083" s="366"/>
    </row>
    <row r="8084" spans="1:1" x14ac:dyDescent="0.2">
      <c r="A8084" s="366"/>
    </row>
    <row r="8085" spans="1:1" x14ac:dyDescent="0.2">
      <c r="A8085" s="366"/>
    </row>
    <row r="8086" spans="1:1" x14ac:dyDescent="0.2">
      <c r="A8086" s="366"/>
    </row>
    <row r="8087" spans="1:1" x14ac:dyDescent="0.2">
      <c r="A8087" s="366"/>
    </row>
    <row r="8088" spans="1:1" x14ac:dyDescent="0.2">
      <c r="A8088" s="366"/>
    </row>
    <row r="8089" spans="1:1" x14ac:dyDescent="0.2">
      <c r="A8089" s="366"/>
    </row>
    <row r="8090" spans="1:1" x14ac:dyDescent="0.2">
      <c r="A8090" s="366"/>
    </row>
    <row r="8091" spans="1:1" x14ac:dyDescent="0.2">
      <c r="A8091" s="366"/>
    </row>
    <row r="8092" spans="1:1" x14ac:dyDescent="0.2">
      <c r="A8092" s="366"/>
    </row>
    <row r="8093" spans="1:1" x14ac:dyDescent="0.2">
      <c r="A8093" s="366"/>
    </row>
    <row r="8094" spans="1:1" x14ac:dyDescent="0.2">
      <c r="A8094" s="366"/>
    </row>
    <row r="8095" spans="1:1" x14ac:dyDescent="0.2">
      <c r="A8095" s="366"/>
    </row>
    <row r="8096" spans="1:1" x14ac:dyDescent="0.2">
      <c r="A8096" s="366"/>
    </row>
    <row r="8097" spans="1:1" x14ac:dyDescent="0.2">
      <c r="A8097" s="366"/>
    </row>
    <row r="8098" spans="1:1" x14ac:dyDescent="0.2">
      <c r="A8098" s="366"/>
    </row>
    <row r="8099" spans="1:1" x14ac:dyDescent="0.2">
      <c r="A8099" s="366"/>
    </row>
    <row r="8100" spans="1:1" x14ac:dyDescent="0.2">
      <c r="A8100" s="366"/>
    </row>
    <row r="8101" spans="1:1" x14ac:dyDescent="0.2">
      <c r="A8101" s="366"/>
    </row>
    <row r="8102" spans="1:1" x14ac:dyDescent="0.2">
      <c r="A8102" s="366"/>
    </row>
    <row r="8103" spans="1:1" x14ac:dyDescent="0.2">
      <c r="A8103" s="366"/>
    </row>
    <row r="8104" spans="1:1" x14ac:dyDescent="0.2">
      <c r="A8104" s="366"/>
    </row>
    <row r="8105" spans="1:1" x14ac:dyDescent="0.2">
      <c r="A8105" s="366"/>
    </row>
    <row r="8106" spans="1:1" x14ac:dyDescent="0.2">
      <c r="A8106" s="366"/>
    </row>
    <row r="8107" spans="1:1" x14ac:dyDescent="0.2">
      <c r="A8107" s="366"/>
    </row>
    <row r="8108" spans="1:1" x14ac:dyDescent="0.2">
      <c r="A8108" s="366"/>
    </row>
    <row r="8109" spans="1:1" x14ac:dyDescent="0.2">
      <c r="A8109" s="366"/>
    </row>
    <row r="8110" spans="1:1" x14ac:dyDescent="0.2">
      <c r="A8110" s="366"/>
    </row>
    <row r="8111" spans="1:1" x14ac:dyDescent="0.2">
      <c r="A8111" s="366"/>
    </row>
    <row r="8112" spans="1:1" x14ac:dyDescent="0.2">
      <c r="A8112" s="366"/>
    </row>
    <row r="8113" spans="1:1" x14ac:dyDescent="0.2">
      <c r="A8113" s="366"/>
    </row>
    <row r="8114" spans="1:1" x14ac:dyDescent="0.2">
      <c r="A8114" s="366"/>
    </row>
    <row r="8115" spans="1:1" x14ac:dyDescent="0.2">
      <c r="A8115" s="366"/>
    </row>
    <row r="8116" spans="1:1" x14ac:dyDescent="0.2">
      <c r="A8116" s="366"/>
    </row>
    <row r="8117" spans="1:1" x14ac:dyDescent="0.2">
      <c r="A8117" s="366"/>
    </row>
    <row r="8118" spans="1:1" x14ac:dyDescent="0.2">
      <c r="A8118" s="366"/>
    </row>
    <row r="8119" spans="1:1" x14ac:dyDescent="0.2">
      <c r="A8119" s="366"/>
    </row>
    <row r="8120" spans="1:1" x14ac:dyDescent="0.2">
      <c r="A8120" s="366"/>
    </row>
    <row r="8121" spans="1:1" x14ac:dyDescent="0.2">
      <c r="A8121" s="366"/>
    </row>
    <row r="8122" spans="1:1" x14ac:dyDescent="0.2">
      <c r="A8122" s="366"/>
    </row>
    <row r="8123" spans="1:1" x14ac:dyDescent="0.2">
      <c r="A8123" s="366"/>
    </row>
    <row r="8124" spans="1:1" x14ac:dyDescent="0.2">
      <c r="A8124" s="366"/>
    </row>
    <row r="8125" spans="1:1" x14ac:dyDescent="0.2">
      <c r="A8125" s="366"/>
    </row>
    <row r="8126" spans="1:1" x14ac:dyDescent="0.2">
      <c r="A8126" s="366"/>
    </row>
    <row r="8127" spans="1:1" x14ac:dyDescent="0.2">
      <c r="A8127" s="366"/>
    </row>
    <row r="8128" spans="1:1" x14ac:dyDescent="0.2">
      <c r="A8128" s="366"/>
    </row>
    <row r="8129" spans="1:1" x14ac:dyDescent="0.2">
      <c r="A8129" s="366"/>
    </row>
    <row r="8130" spans="1:1" x14ac:dyDescent="0.2">
      <c r="A8130" s="366"/>
    </row>
    <row r="8131" spans="1:1" x14ac:dyDescent="0.2">
      <c r="A8131" s="366"/>
    </row>
    <row r="8132" spans="1:1" x14ac:dyDescent="0.2">
      <c r="A8132" s="366"/>
    </row>
    <row r="8133" spans="1:1" x14ac:dyDescent="0.2">
      <c r="A8133" s="366"/>
    </row>
    <row r="8134" spans="1:1" x14ac:dyDescent="0.2">
      <c r="A8134" s="366"/>
    </row>
    <row r="8135" spans="1:1" x14ac:dyDescent="0.2">
      <c r="A8135" s="366"/>
    </row>
    <row r="8136" spans="1:1" x14ac:dyDescent="0.2">
      <c r="A8136" s="366"/>
    </row>
    <row r="8137" spans="1:1" x14ac:dyDescent="0.2">
      <c r="A8137" s="366"/>
    </row>
    <row r="8138" spans="1:1" x14ac:dyDescent="0.2">
      <c r="A8138" s="366"/>
    </row>
    <row r="8139" spans="1:1" x14ac:dyDescent="0.2">
      <c r="A8139" s="366"/>
    </row>
    <row r="8140" spans="1:1" x14ac:dyDescent="0.2">
      <c r="A8140" s="366"/>
    </row>
    <row r="8141" spans="1:1" x14ac:dyDescent="0.2">
      <c r="A8141" s="366"/>
    </row>
    <row r="8142" spans="1:1" x14ac:dyDescent="0.2">
      <c r="A8142" s="366"/>
    </row>
    <row r="8143" spans="1:1" x14ac:dyDescent="0.2">
      <c r="A8143" s="366"/>
    </row>
    <row r="8144" spans="1:1" x14ac:dyDescent="0.2">
      <c r="A8144" s="366"/>
    </row>
    <row r="8145" spans="1:1" x14ac:dyDescent="0.2">
      <c r="A8145" s="366"/>
    </row>
    <row r="8146" spans="1:1" x14ac:dyDescent="0.2">
      <c r="A8146" s="366"/>
    </row>
    <row r="8147" spans="1:1" x14ac:dyDescent="0.2">
      <c r="A8147" s="366"/>
    </row>
    <row r="8148" spans="1:1" x14ac:dyDescent="0.2">
      <c r="A8148" s="366"/>
    </row>
    <row r="8149" spans="1:1" x14ac:dyDescent="0.2">
      <c r="A8149" s="366"/>
    </row>
    <row r="8150" spans="1:1" x14ac:dyDescent="0.2">
      <c r="A8150" s="366"/>
    </row>
    <row r="8151" spans="1:1" x14ac:dyDescent="0.2">
      <c r="A8151" s="366"/>
    </row>
    <row r="8152" spans="1:1" x14ac:dyDescent="0.2">
      <c r="A8152" s="366"/>
    </row>
    <row r="8153" spans="1:1" x14ac:dyDescent="0.2">
      <c r="A8153" s="366"/>
    </row>
    <row r="8154" spans="1:1" x14ac:dyDescent="0.2">
      <c r="A8154" s="366"/>
    </row>
    <row r="8155" spans="1:1" x14ac:dyDescent="0.2">
      <c r="A8155" s="366"/>
    </row>
    <row r="8156" spans="1:1" x14ac:dyDescent="0.2">
      <c r="A8156" s="366"/>
    </row>
    <row r="8157" spans="1:1" x14ac:dyDescent="0.2">
      <c r="A8157" s="366"/>
    </row>
    <row r="8158" spans="1:1" x14ac:dyDescent="0.2">
      <c r="A8158" s="366"/>
    </row>
    <row r="8159" spans="1:1" x14ac:dyDescent="0.2">
      <c r="A8159" s="366"/>
    </row>
    <row r="8160" spans="1:1" x14ac:dyDescent="0.2">
      <c r="A8160" s="366"/>
    </row>
    <row r="8161" spans="1:1" x14ac:dyDescent="0.2">
      <c r="A8161" s="366"/>
    </row>
    <row r="8162" spans="1:1" x14ac:dyDescent="0.2">
      <c r="A8162" s="366"/>
    </row>
    <row r="8163" spans="1:1" x14ac:dyDescent="0.2">
      <c r="A8163" s="366"/>
    </row>
    <row r="8164" spans="1:1" x14ac:dyDescent="0.2">
      <c r="A8164" s="366"/>
    </row>
    <row r="8165" spans="1:1" x14ac:dyDescent="0.2">
      <c r="A8165" s="366"/>
    </row>
    <row r="8166" spans="1:1" x14ac:dyDescent="0.2">
      <c r="A8166" s="366"/>
    </row>
    <row r="8167" spans="1:1" x14ac:dyDescent="0.2">
      <c r="A8167" s="366"/>
    </row>
    <row r="8168" spans="1:1" x14ac:dyDescent="0.2">
      <c r="A8168" s="366"/>
    </row>
    <row r="8169" spans="1:1" x14ac:dyDescent="0.2">
      <c r="A8169" s="366"/>
    </row>
    <row r="8170" spans="1:1" x14ac:dyDescent="0.2">
      <c r="A8170" s="366"/>
    </row>
    <row r="8171" spans="1:1" x14ac:dyDescent="0.2">
      <c r="A8171" s="366"/>
    </row>
    <row r="8172" spans="1:1" x14ac:dyDescent="0.2">
      <c r="A8172" s="366"/>
    </row>
    <row r="8173" spans="1:1" x14ac:dyDescent="0.2">
      <c r="A8173" s="366"/>
    </row>
    <row r="8174" spans="1:1" x14ac:dyDescent="0.2">
      <c r="A8174" s="366"/>
    </row>
    <row r="8175" spans="1:1" x14ac:dyDescent="0.2">
      <c r="A8175" s="366"/>
    </row>
    <row r="8176" spans="1:1" x14ac:dyDescent="0.2">
      <c r="A8176" s="366"/>
    </row>
    <row r="8177" spans="1:1" x14ac:dyDescent="0.2">
      <c r="A8177" s="366"/>
    </row>
    <row r="8178" spans="1:1" x14ac:dyDescent="0.2">
      <c r="A8178" s="366"/>
    </row>
    <row r="8179" spans="1:1" x14ac:dyDescent="0.2">
      <c r="A8179" s="366"/>
    </row>
    <row r="8180" spans="1:1" x14ac:dyDescent="0.2">
      <c r="A8180" s="366"/>
    </row>
    <row r="8181" spans="1:1" x14ac:dyDescent="0.2">
      <c r="A8181" s="366"/>
    </row>
    <row r="8182" spans="1:1" x14ac:dyDescent="0.2">
      <c r="A8182" s="366"/>
    </row>
    <row r="8183" spans="1:1" x14ac:dyDescent="0.2">
      <c r="A8183" s="366"/>
    </row>
    <row r="8184" spans="1:1" x14ac:dyDescent="0.2">
      <c r="A8184" s="366"/>
    </row>
    <row r="8185" spans="1:1" x14ac:dyDescent="0.2">
      <c r="A8185" s="366"/>
    </row>
    <row r="8186" spans="1:1" x14ac:dyDescent="0.2">
      <c r="A8186" s="366"/>
    </row>
    <row r="8187" spans="1:1" x14ac:dyDescent="0.2">
      <c r="A8187" s="366"/>
    </row>
    <row r="8188" spans="1:1" x14ac:dyDescent="0.2">
      <c r="A8188" s="366"/>
    </row>
    <row r="8189" spans="1:1" x14ac:dyDescent="0.2">
      <c r="A8189" s="366"/>
    </row>
    <row r="8190" spans="1:1" x14ac:dyDescent="0.2">
      <c r="A8190" s="366"/>
    </row>
    <row r="8191" spans="1:1" x14ac:dyDescent="0.2">
      <c r="A8191" s="366"/>
    </row>
    <row r="8192" spans="1:1" x14ac:dyDescent="0.2">
      <c r="A8192" s="366"/>
    </row>
    <row r="8193" spans="1:1" x14ac:dyDescent="0.2">
      <c r="A8193" s="366"/>
    </row>
    <row r="8194" spans="1:1" x14ac:dyDescent="0.2">
      <c r="A8194" s="366"/>
    </row>
    <row r="8195" spans="1:1" x14ac:dyDescent="0.2">
      <c r="A8195" s="366"/>
    </row>
    <row r="8196" spans="1:1" x14ac:dyDescent="0.2">
      <c r="A8196" s="366"/>
    </row>
    <row r="8197" spans="1:1" x14ac:dyDescent="0.2">
      <c r="A8197" s="366"/>
    </row>
    <row r="8198" spans="1:1" x14ac:dyDescent="0.2">
      <c r="A8198" s="366"/>
    </row>
    <row r="8199" spans="1:1" x14ac:dyDescent="0.2">
      <c r="A8199" s="366"/>
    </row>
    <row r="8200" spans="1:1" x14ac:dyDescent="0.2">
      <c r="A8200" s="366"/>
    </row>
    <row r="8201" spans="1:1" x14ac:dyDescent="0.2">
      <c r="A8201" s="366"/>
    </row>
    <row r="8202" spans="1:1" x14ac:dyDescent="0.2">
      <c r="A8202" s="366"/>
    </row>
    <row r="8203" spans="1:1" x14ac:dyDescent="0.2">
      <c r="A8203" s="366"/>
    </row>
    <row r="8204" spans="1:1" x14ac:dyDescent="0.2">
      <c r="A8204" s="366"/>
    </row>
    <row r="8205" spans="1:1" x14ac:dyDescent="0.2">
      <c r="A8205" s="366"/>
    </row>
    <row r="8206" spans="1:1" x14ac:dyDescent="0.2">
      <c r="A8206" s="366"/>
    </row>
    <row r="8207" spans="1:1" x14ac:dyDescent="0.2">
      <c r="A8207" s="366"/>
    </row>
    <row r="8208" spans="1:1" x14ac:dyDescent="0.2">
      <c r="A8208" s="366"/>
    </row>
    <row r="8209" spans="1:1" x14ac:dyDescent="0.2">
      <c r="A8209" s="366"/>
    </row>
    <row r="8210" spans="1:1" x14ac:dyDescent="0.2">
      <c r="A8210" s="366"/>
    </row>
    <row r="8211" spans="1:1" x14ac:dyDescent="0.2">
      <c r="A8211" s="366"/>
    </row>
    <row r="8212" spans="1:1" x14ac:dyDescent="0.2">
      <c r="A8212" s="366"/>
    </row>
    <row r="8213" spans="1:1" x14ac:dyDescent="0.2">
      <c r="A8213" s="366"/>
    </row>
    <row r="8214" spans="1:1" x14ac:dyDescent="0.2">
      <c r="A8214" s="366"/>
    </row>
    <row r="8215" spans="1:1" x14ac:dyDescent="0.2">
      <c r="A8215" s="366"/>
    </row>
    <row r="8216" spans="1:1" x14ac:dyDescent="0.2">
      <c r="A8216" s="366"/>
    </row>
    <row r="8217" spans="1:1" x14ac:dyDescent="0.2">
      <c r="A8217" s="366"/>
    </row>
    <row r="8218" spans="1:1" x14ac:dyDescent="0.2">
      <c r="A8218" s="366"/>
    </row>
    <row r="8219" spans="1:1" x14ac:dyDescent="0.2">
      <c r="A8219" s="366"/>
    </row>
    <row r="8220" spans="1:1" x14ac:dyDescent="0.2">
      <c r="A8220" s="366"/>
    </row>
    <row r="8221" spans="1:1" x14ac:dyDescent="0.2">
      <c r="A8221" s="366"/>
    </row>
    <row r="8222" spans="1:1" x14ac:dyDescent="0.2">
      <c r="A8222" s="366"/>
    </row>
    <row r="8223" spans="1:1" x14ac:dyDescent="0.2">
      <c r="A8223" s="366"/>
    </row>
    <row r="8224" spans="1:1" x14ac:dyDescent="0.2">
      <c r="A8224" s="366"/>
    </row>
    <row r="8225" spans="1:1" x14ac:dyDescent="0.2">
      <c r="A8225" s="366"/>
    </row>
    <row r="8226" spans="1:1" x14ac:dyDescent="0.2">
      <c r="A8226" s="366"/>
    </row>
    <row r="8227" spans="1:1" x14ac:dyDescent="0.2">
      <c r="A8227" s="366"/>
    </row>
    <row r="8228" spans="1:1" x14ac:dyDescent="0.2">
      <c r="A8228" s="366"/>
    </row>
    <row r="8229" spans="1:1" x14ac:dyDescent="0.2">
      <c r="A8229" s="366"/>
    </row>
    <row r="8230" spans="1:1" x14ac:dyDescent="0.2">
      <c r="A8230" s="366"/>
    </row>
    <row r="8231" spans="1:1" x14ac:dyDescent="0.2">
      <c r="A8231" s="366"/>
    </row>
    <row r="8232" spans="1:1" x14ac:dyDescent="0.2">
      <c r="A8232" s="366"/>
    </row>
    <row r="8233" spans="1:1" x14ac:dyDescent="0.2">
      <c r="A8233" s="366"/>
    </row>
    <row r="8234" spans="1:1" x14ac:dyDescent="0.2">
      <c r="A8234" s="366"/>
    </row>
    <row r="8235" spans="1:1" x14ac:dyDescent="0.2">
      <c r="A8235" s="366"/>
    </row>
    <row r="8236" spans="1:1" x14ac:dyDescent="0.2">
      <c r="A8236" s="366"/>
    </row>
    <row r="8237" spans="1:1" x14ac:dyDescent="0.2">
      <c r="A8237" s="366"/>
    </row>
    <row r="8238" spans="1:1" x14ac:dyDescent="0.2">
      <c r="A8238" s="366"/>
    </row>
    <row r="8239" spans="1:1" x14ac:dyDescent="0.2">
      <c r="A8239" s="366"/>
    </row>
    <row r="8240" spans="1:1" x14ac:dyDescent="0.2">
      <c r="A8240" s="366"/>
    </row>
    <row r="8241" spans="1:1" x14ac:dyDescent="0.2">
      <c r="A8241" s="366"/>
    </row>
    <row r="8242" spans="1:1" x14ac:dyDescent="0.2">
      <c r="A8242" s="366"/>
    </row>
    <row r="8243" spans="1:1" x14ac:dyDescent="0.2">
      <c r="A8243" s="366"/>
    </row>
    <row r="8244" spans="1:1" x14ac:dyDescent="0.2">
      <c r="A8244" s="366"/>
    </row>
    <row r="8245" spans="1:1" x14ac:dyDescent="0.2">
      <c r="A8245" s="366"/>
    </row>
    <row r="8246" spans="1:1" x14ac:dyDescent="0.2">
      <c r="A8246" s="366"/>
    </row>
    <row r="8247" spans="1:1" x14ac:dyDescent="0.2">
      <c r="A8247" s="366"/>
    </row>
    <row r="8248" spans="1:1" x14ac:dyDescent="0.2">
      <c r="A8248" s="366"/>
    </row>
    <row r="8249" spans="1:1" x14ac:dyDescent="0.2">
      <c r="A8249" s="366"/>
    </row>
    <row r="8250" spans="1:1" x14ac:dyDescent="0.2">
      <c r="A8250" s="366"/>
    </row>
    <row r="8251" spans="1:1" x14ac:dyDescent="0.2">
      <c r="A8251" s="366"/>
    </row>
    <row r="8252" spans="1:1" x14ac:dyDescent="0.2">
      <c r="A8252" s="366"/>
    </row>
    <row r="8253" spans="1:1" x14ac:dyDescent="0.2">
      <c r="A8253" s="366"/>
    </row>
    <row r="8254" spans="1:1" x14ac:dyDescent="0.2">
      <c r="A8254" s="366"/>
    </row>
    <row r="8255" spans="1:1" x14ac:dyDescent="0.2">
      <c r="A8255" s="366"/>
    </row>
    <row r="8256" spans="1:1" x14ac:dyDescent="0.2">
      <c r="A8256" s="366"/>
    </row>
    <row r="8257" spans="1:1" x14ac:dyDescent="0.2">
      <c r="A8257" s="366"/>
    </row>
    <row r="8258" spans="1:1" x14ac:dyDescent="0.2">
      <c r="A8258" s="366"/>
    </row>
    <row r="8259" spans="1:1" x14ac:dyDescent="0.2">
      <c r="A8259" s="366"/>
    </row>
    <row r="8260" spans="1:1" x14ac:dyDescent="0.2">
      <c r="A8260" s="366"/>
    </row>
    <row r="8261" spans="1:1" x14ac:dyDescent="0.2">
      <c r="A8261" s="366"/>
    </row>
    <row r="8262" spans="1:1" x14ac:dyDescent="0.2">
      <c r="A8262" s="366"/>
    </row>
    <row r="8263" spans="1:1" x14ac:dyDescent="0.2">
      <c r="A8263" s="366"/>
    </row>
    <row r="8264" spans="1:1" x14ac:dyDescent="0.2">
      <c r="A8264" s="366"/>
    </row>
    <row r="8265" spans="1:1" x14ac:dyDescent="0.2">
      <c r="A8265" s="366"/>
    </row>
    <row r="8266" spans="1:1" x14ac:dyDescent="0.2">
      <c r="A8266" s="366"/>
    </row>
    <row r="8267" spans="1:1" x14ac:dyDescent="0.2">
      <c r="A8267" s="366"/>
    </row>
    <row r="8268" spans="1:1" x14ac:dyDescent="0.2">
      <c r="A8268" s="366"/>
    </row>
    <row r="8269" spans="1:1" x14ac:dyDescent="0.2">
      <c r="A8269" s="366"/>
    </row>
    <row r="8270" spans="1:1" x14ac:dyDescent="0.2">
      <c r="A8270" s="366"/>
    </row>
    <row r="8271" spans="1:1" x14ac:dyDescent="0.2">
      <c r="A8271" s="366"/>
    </row>
    <row r="8272" spans="1:1" x14ac:dyDescent="0.2">
      <c r="A8272" s="366"/>
    </row>
    <row r="8273" spans="1:1" x14ac:dyDescent="0.2">
      <c r="A8273" s="366"/>
    </row>
    <row r="8274" spans="1:1" x14ac:dyDescent="0.2">
      <c r="A8274" s="366"/>
    </row>
    <row r="8275" spans="1:1" x14ac:dyDescent="0.2">
      <c r="A8275" s="366"/>
    </row>
    <row r="8276" spans="1:1" x14ac:dyDescent="0.2">
      <c r="A8276" s="366"/>
    </row>
    <row r="8277" spans="1:1" x14ac:dyDescent="0.2">
      <c r="A8277" s="366"/>
    </row>
    <row r="8278" spans="1:1" x14ac:dyDescent="0.2">
      <c r="A8278" s="366"/>
    </row>
    <row r="8279" spans="1:1" x14ac:dyDescent="0.2">
      <c r="A8279" s="366"/>
    </row>
    <row r="8280" spans="1:1" x14ac:dyDescent="0.2">
      <c r="A8280" s="366"/>
    </row>
    <row r="8281" spans="1:1" x14ac:dyDescent="0.2">
      <c r="A8281" s="366"/>
    </row>
    <row r="8282" spans="1:1" x14ac:dyDescent="0.2">
      <c r="A8282" s="366"/>
    </row>
    <row r="8283" spans="1:1" x14ac:dyDescent="0.2">
      <c r="A8283" s="366"/>
    </row>
    <row r="8284" spans="1:1" x14ac:dyDescent="0.2">
      <c r="A8284" s="366"/>
    </row>
    <row r="8285" spans="1:1" x14ac:dyDescent="0.2">
      <c r="A8285" s="366"/>
    </row>
    <row r="8286" spans="1:1" x14ac:dyDescent="0.2">
      <c r="A8286" s="366"/>
    </row>
    <row r="8287" spans="1:1" x14ac:dyDescent="0.2">
      <c r="A8287" s="366"/>
    </row>
    <row r="8288" spans="1:1" x14ac:dyDescent="0.2">
      <c r="A8288" s="366"/>
    </row>
    <row r="8289" spans="1:1" x14ac:dyDescent="0.2">
      <c r="A8289" s="366"/>
    </row>
    <row r="8290" spans="1:1" x14ac:dyDescent="0.2">
      <c r="A8290" s="366"/>
    </row>
    <row r="8291" spans="1:1" x14ac:dyDescent="0.2">
      <c r="A8291" s="366"/>
    </row>
    <row r="8292" spans="1:1" x14ac:dyDescent="0.2">
      <c r="A8292" s="366"/>
    </row>
    <row r="8293" spans="1:1" x14ac:dyDescent="0.2">
      <c r="A8293" s="366"/>
    </row>
    <row r="8294" spans="1:1" x14ac:dyDescent="0.2">
      <c r="A8294" s="366"/>
    </row>
    <row r="8295" spans="1:1" x14ac:dyDescent="0.2">
      <c r="A8295" s="366"/>
    </row>
    <row r="8296" spans="1:1" x14ac:dyDescent="0.2">
      <c r="A8296" s="366"/>
    </row>
    <row r="8297" spans="1:1" x14ac:dyDescent="0.2">
      <c r="A8297" s="366"/>
    </row>
    <row r="8298" spans="1:1" x14ac:dyDescent="0.2">
      <c r="A8298" s="366"/>
    </row>
    <row r="8299" spans="1:1" x14ac:dyDescent="0.2">
      <c r="A8299" s="366"/>
    </row>
    <row r="8300" spans="1:1" x14ac:dyDescent="0.2">
      <c r="A8300" s="366"/>
    </row>
    <row r="8301" spans="1:1" x14ac:dyDescent="0.2">
      <c r="A8301" s="366"/>
    </row>
    <row r="8302" spans="1:1" x14ac:dyDescent="0.2">
      <c r="A8302" s="366"/>
    </row>
    <row r="8303" spans="1:1" x14ac:dyDescent="0.2">
      <c r="A8303" s="366"/>
    </row>
    <row r="8304" spans="1:1" x14ac:dyDescent="0.2">
      <c r="A8304" s="366"/>
    </row>
    <row r="8305" spans="1:1" x14ac:dyDescent="0.2">
      <c r="A8305" s="366"/>
    </row>
    <row r="8306" spans="1:1" x14ac:dyDescent="0.2">
      <c r="A8306" s="366"/>
    </row>
    <row r="8307" spans="1:1" x14ac:dyDescent="0.2">
      <c r="A8307" s="366"/>
    </row>
    <row r="8308" spans="1:1" x14ac:dyDescent="0.2">
      <c r="A8308" s="366"/>
    </row>
    <row r="8309" spans="1:1" x14ac:dyDescent="0.2">
      <c r="A8309" s="366"/>
    </row>
    <row r="8310" spans="1:1" x14ac:dyDescent="0.2">
      <c r="A8310" s="366"/>
    </row>
    <row r="8311" spans="1:1" x14ac:dyDescent="0.2">
      <c r="A8311" s="366"/>
    </row>
    <row r="8312" spans="1:1" x14ac:dyDescent="0.2">
      <c r="A8312" s="366"/>
    </row>
    <row r="8313" spans="1:1" x14ac:dyDescent="0.2">
      <c r="A8313" s="366"/>
    </row>
    <row r="8314" spans="1:1" x14ac:dyDescent="0.2">
      <c r="A8314" s="366"/>
    </row>
    <row r="8315" spans="1:1" x14ac:dyDescent="0.2">
      <c r="A8315" s="366"/>
    </row>
    <row r="8316" spans="1:1" x14ac:dyDescent="0.2">
      <c r="A8316" s="366"/>
    </row>
    <row r="8317" spans="1:1" x14ac:dyDescent="0.2">
      <c r="A8317" s="366"/>
    </row>
    <row r="8318" spans="1:1" x14ac:dyDescent="0.2">
      <c r="A8318" s="366"/>
    </row>
    <row r="8319" spans="1:1" x14ac:dyDescent="0.2">
      <c r="A8319" s="366"/>
    </row>
    <row r="8320" spans="1:1" x14ac:dyDescent="0.2">
      <c r="A8320" s="366"/>
    </row>
    <row r="8321" spans="1:1" x14ac:dyDescent="0.2">
      <c r="A8321" s="366"/>
    </row>
    <row r="8322" spans="1:1" x14ac:dyDescent="0.2">
      <c r="A8322" s="366"/>
    </row>
    <row r="8323" spans="1:1" x14ac:dyDescent="0.2">
      <c r="A8323" s="366"/>
    </row>
    <row r="8324" spans="1:1" x14ac:dyDescent="0.2">
      <c r="A8324" s="366"/>
    </row>
    <row r="8325" spans="1:1" x14ac:dyDescent="0.2">
      <c r="A8325" s="366"/>
    </row>
    <row r="8326" spans="1:1" x14ac:dyDescent="0.2">
      <c r="A8326" s="366"/>
    </row>
    <row r="8327" spans="1:1" x14ac:dyDescent="0.2">
      <c r="A8327" s="366"/>
    </row>
    <row r="8328" spans="1:1" x14ac:dyDescent="0.2">
      <c r="A8328" s="366"/>
    </row>
    <row r="8329" spans="1:1" x14ac:dyDescent="0.2">
      <c r="A8329" s="366"/>
    </row>
    <row r="8330" spans="1:1" x14ac:dyDescent="0.2">
      <c r="A8330" s="366"/>
    </row>
    <row r="8331" spans="1:1" x14ac:dyDescent="0.2">
      <c r="A8331" s="366"/>
    </row>
    <row r="8332" spans="1:1" x14ac:dyDescent="0.2">
      <c r="A8332" s="366"/>
    </row>
    <row r="8333" spans="1:1" x14ac:dyDescent="0.2">
      <c r="A8333" s="366"/>
    </row>
    <row r="8334" spans="1:1" x14ac:dyDescent="0.2">
      <c r="A8334" s="366"/>
    </row>
    <row r="8335" spans="1:1" x14ac:dyDescent="0.2">
      <c r="A8335" s="366"/>
    </row>
    <row r="8336" spans="1:1" x14ac:dyDescent="0.2">
      <c r="A8336" s="366"/>
    </row>
    <row r="8337" spans="1:1" x14ac:dyDescent="0.2">
      <c r="A8337" s="366"/>
    </row>
    <row r="8338" spans="1:1" x14ac:dyDescent="0.2">
      <c r="A8338" s="366"/>
    </row>
    <row r="8339" spans="1:1" x14ac:dyDescent="0.2">
      <c r="A8339" s="366"/>
    </row>
    <row r="8340" spans="1:1" x14ac:dyDescent="0.2">
      <c r="A8340" s="366"/>
    </row>
    <row r="8341" spans="1:1" x14ac:dyDescent="0.2">
      <c r="A8341" s="366"/>
    </row>
    <row r="8342" spans="1:1" x14ac:dyDescent="0.2">
      <c r="A8342" s="366"/>
    </row>
    <row r="8343" spans="1:1" x14ac:dyDescent="0.2">
      <c r="A8343" s="366"/>
    </row>
    <row r="8344" spans="1:1" x14ac:dyDescent="0.2">
      <c r="A8344" s="366"/>
    </row>
    <row r="8345" spans="1:1" x14ac:dyDescent="0.2">
      <c r="A8345" s="366"/>
    </row>
    <row r="8346" spans="1:1" x14ac:dyDescent="0.2">
      <c r="A8346" s="366"/>
    </row>
    <row r="8347" spans="1:1" x14ac:dyDescent="0.2">
      <c r="A8347" s="366"/>
    </row>
    <row r="8348" spans="1:1" x14ac:dyDescent="0.2">
      <c r="A8348" s="366"/>
    </row>
    <row r="8349" spans="1:1" x14ac:dyDescent="0.2">
      <c r="A8349" s="366"/>
    </row>
    <row r="8350" spans="1:1" x14ac:dyDescent="0.2">
      <c r="A8350" s="366"/>
    </row>
    <row r="8351" spans="1:1" x14ac:dyDescent="0.2">
      <c r="A8351" s="366"/>
    </row>
    <row r="8352" spans="1:1" x14ac:dyDescent="0.2">
      <c r="A8352" s="366"/>
    </row>
    <row r="8353" spans="1:1" x14ac:dyDescent="0.2">
      <c r="A8353" s="366"/>
    </row>
    <row r="8354" spans="1:1" x14ac:dyDescent="0.2">
      <c r="A8354" s="366"/>
    </row>
    <row r="8355" spans="1:1" x14ac:dyDescent="0.2">
      <c r="A8355" s="366"/>
    </row>
    <row r="8356" spans="1:1" x14ac:dyDescent="0.2">
      <c r="A8356" s="366"/>
    </row>
    <row r="8357" spans="1:1" x14ac:dyDescent="0.2">
      <c r="A8357" s="366"/>
    </row>
    <row r="8358" spans="1:1" x14ac:dyDescent="0.2">
      <c r="A8358" s="366"/>
    </row>
    <row r="8359" spans="1:1" x14ac:dyDescent="0.2">
      <c r="A8359" s="366"/>
    </row>
    <row r="8360" spans="1:1" x14ac:dyDescent="0.2">
      <c r="A8360" s="366"/>
    </row>
    <row r="8361" spans="1:1" x14ac:dyDescent="0.2">
      <c r="A8361" s="366"/>
    </row>
    <row r="8362" spans="1:1" x14ac:dyDescent="0.2">
      <c r="A8362" s="366"/>
    </row>
    <row r="8363" spans="1:1" x14ac:dyDescent="0.2">
      <c r="A8363" s="366"/>
    </row>
    <row r="8364" spans="1:1" x14ac:dyDescent="0.2">
      <c r="A8364" s="366"/>
    </row>
    <row r="8365" spans="1:1" x14ac:dyDescent="0.2">
      <c r="A8365" s="366"/>
    </row>
    <row r="8366" spans="1:1" x14ac:dyDescent="0.2">
      <c r="A8366" s="366"/>
    </row>
    <row r="8367" spans="1:1" x14ac:dyDescent="0.2">
      <c r="A8367" s="366"/>
    </row>
    <row r="8368" spans="1:1" x14ac:dyDescent="0.2">
      <c r="A8368" s="366"/>
    </row>
    <row r="8369" spans="1:1" x14ac:dyDescent="0.2">
      <c r="A8369" s="366"/>
    </row>
    <row r="8370" spans="1:1" x14ac:dyDescent="0.2">
      <c r="A8370" s="366"/>
    </row>
    <row r="8371" spans="1:1" x14ac:dyDescent="0.2">
      <c r="A8371" s="366"/>
    </row>
    <row r="8372" spans="1:1" x14ac:dyDescent="0.2">
      <c r="A8372" s="366"/>
    </row>
    <row r="8373" spans="1:1" x14ac:dyDescent="0.2">
      <c r="A8373" s="366"/>
    </row>
    <row r="8374" spans="1:1" x14ac:dyDescent="0.2">
      <c r="A8374" s="366"/>
    </row>
    <row r="8375" spans="1:1" x14ac:dyDescent="0.2">
      <c r="A8375" s="366"/>
    </row>
    <row r="8376" spans="1:1" x14ac:dyDescent="0.2">
      <c r="A8376" s="366"/>
    </row>
    <row r="8377" spans="1:1" x14ac:dyDescent="0.2">
      <c r="A8377" s="366"/>
    </row>
    <row r="8378" spans="1:1" x14ac:dyDescent="0.2">
      <c r="A8378" s="366"/>
    </row>
    <row r="8379" spans="1:1" x14ac:dyDescent="0.2">
      <c r="A8379" s="366"/>
    </row>
    <row r="8380" spans="1:1" x14ac:dyDescent="0.2">
      <c r="A8380" s="366"/>
    </row>
    <row r="8381" spans="1:1" x14ac:dyDescent="0.2">
      <c r="A8381" s="366"/>
    </row>
    <row r="8382" spans="1:1" x14ac:dyDescent="0.2">
      <c r="A8382" s="366"/>
    </row>
    <row r="8383" spans="1:1" x14ac:dyDescent="0.2">
      <c r="A8383" s="366"/>
    </row>
    <row r="8384" spans="1:1" x14ac:dyDescent="0.2">
      <c r="A8384" s="366"/>
    </row>
    <row r="8385" spans="1:1" x14ac:dyDescent="0.2">
      <c r="A8385" s="366"/>
    </row>
    <row r="8386" spans="1:1" x14ac:dyDescent="0.2">
      <c r="A8386" s="366"/>
    </row>
    <row r="8387" spans="1:1" x14ac:dyDescent="0.2">
      <c r="A8387" s="366"/>
    </row>
    <row r="8388" spans="1:1" x14ac:dyDescent="0.2">
      <c r="A8388" s="366"/>
    </row>
    <row r="8389" spans="1:1" x14ac:dyDescent="0.2">
      <c r="A8389" s="366"/>
    </row>
    <row r="8390" spans="1:1" x14ac:dyDescent="0.2">
      <c r="A8390" s="366"/>
    </row>
    <row r="8391" spans="1:1" x14ac:dyDescent="0.2">
      <c r="A8391" s="366"/>
    </row>
    <row r="8392" spans="1:1" x14ac:dyDescent="0.2">
      <c r="A8392" s="366"/>
    </row>
    <row r="8393" spans="1:1" x14ac:dyDescent="0.2">
      <c r="A8393" s="366"/>
    </row>
    <row r="8394" spans="1:1" x14ac:dyDescent="0.2">
      <c r="A8394" s="366"/>
    </row>
    <row r="8395" spans="1:1" x14ac:dyDescent="0.2">
      <c r="A8395" s="366"/>
    </row>
    <row r="8396" spans="1:1" x14ac:dyDescent="0.2">
      <c r="A8396" s="366"/>
    </row>
    <row r="8397" spans="1:1" x14ac:dyDescent="0.2">
      <c r="A8397" s="366"/>
    </row>
    <row r="8398" spans="1:1" x14ac:dyDescent="0.2">
      <c r="A8398" s="366"/>
    </row>
    <row r="8399" spans="1:1" x14ac:dyDescent="0.2">
      <c r="A8399" s="366"/>
    </row>
    <row r="8400" spans="1:1" x14ac:dyDescent="0.2">
      <c r="A8400" s="366"/>
    </row>
    <row r="8401" spans="1:1" x14ac:dyDescent="0.2">
      <c r="A8401" s="366"/>
    </row>
    <row r="8402" spans="1:1" x14ac:dyDescent="0.2">
      <c r="A8402" s="366"/>
    </row>
    <row r="8403" spans="1:1" x14ac:dyDescent="0.2">
      <c r="A8403" s="366"/>
    </row>
    <row r="8404" spans="1:1" x14ac:dyDescent="0.2">
      <c r="A8404" s="366"/>
    </row>
    <row r="8405" spans="1:1" x14ac:dyDescent="0.2">
      <c r="A8405" s="366"/>
    </row>
    <row r="8406" spans="1:1" x14ac:dyDescent="0.2">
      <c r="A8406" s="366"/>
    </row>
    <row r="8407" spans="1:1" x14ac:dyDescent="0.2">
      <c r="A8407" s="366"/>
    </row>
    <row r="8408" spans="1:1" x14ac:dyDescent="0.2">
      <c r="A8408" s="366"/>
    </row>
    <row r="8409" spans="1:1" x14ac:dyDescent="0.2">
      <c r="A8409" s="366"/>
    </row>
    <row r="8410" spans="1:1" x14ac:dyDescent="0.2">
      <c r="A8410" s="366"/>
    </row>
    <row r="8411" spans="1:1" x14ac:dyDescent="0.2">
      <c r="A8411" s="366"/>
    </row>
    <row r="8412" spans="1:1" x14ac:dyDescent="0.2">
      <c r="A8412" s="366"/>
    </row>
    <row r="8413" spans="1:1" x14ac:dyDescent="0.2">
      <c r="A8413" s="366"/>
    </row>
    <row r="8414" spans="1:1" x14ac:dyDescent="0.2">
      <c r="A8414" s="366"/>
    </row>
    <row r="8415" spans="1:1" x14ac:dyDescent="0.2">
      <c r="A8415" s="366"/>
    </row>
    <row r="8416" spans="1:1" x14ac:dyDescent="0.2">
      <c r="A8416" s="366"/>
    </row>
    <row r="8417" spans="1:1" x14ac:dyDescent="0.2">
      <c r="A8417" s="366"/>
    </row>
    <row r="8418" spans="1:1" x14ac:dyDescent="0.2">
      <c r="A8418" s="366"/>
    </row>
    <row r="8419" spans="1:1" x14ac:dyDescent="0.2">
      <c r="A8419" s="366"/>
    </row>
    <row r="8420" spans="1:1" x14ac:dyDescent="0.2">
      <c r="A8420" s="366"/>
    </row>
    <row r="8421" spans="1:1" x14ac:dyDescent="0.2">
      <c r="A8421" s="366"/>
    </row>
    <row r="8422" spans="1:1" x14ac:dyDescent="0.2">
      <c r="A8422" s="366"/>
    </row>
    <row r="8423" spans="1:1" x14ac:dyDescent="0.2">
      <c r="A8423" s="366"/>
    </row>
    <row r="8424" spans="1:1" x14ac:dyDescent="0.2">
      <c r="A8424" s="366"/>
    </row>
    <row r="8425" spans="1:1" x14ac:dyDescent="0.2">
      <c r="A8425" s="366"/>
    </row>
    <row r="8426" spans="1:1" x14ac:dyDescent="0.2">
      <c r="A8426" s="366"/>
    </row>
    <row r="8427" spans="1:1" x14ac:dyDescent="0.2">
      <c r="A8427" s="366"/>
    </row>
    <row r="8428" spans="1:1" x14ac:dyDescent="0.2">
      <c r="A8428" s="366"/>
    </row>
    <row r="8429" spans="1:1" x14ac:dyDescent="0.2">
      <c r="A8429" s="366"/>
    </row>
    <row r="8430" spans="1:1" x14ac:dyDescent="0.2">
      <c r="A8430" s="366"/>
    </row>
    <row r="8431" spans="1:1" x14ac:dyDescent="0.2">
      <c r="A8431" s="366"/>
    </row>
    <row r="8432" spans="1:1" x14ac:dyDescent="0.2">
      <c r="A8432" s="366"/>
    </row>
    <row r="8433" spans="1:1" x14ac:dyDescent="0.2">
      <c r="A8433" s="366"/>
    </row>
    <row r="8434" spans="1:1" x14ac:dyDescent="0.2">
      <c r="A8434" s="366"/>
    </row>
    <row r="8435" spans="1:1" x14ac:dyDescent="0.2">
      <c r="A8435" s="366"/>
    </row>
    <row r="8436" spans="1:1" x14ac:dyDescent="0.2">
      <c r="A8436" s="366"/>
    </row>
    <row r="8437" spans="1:1" x14ac:dyDescent="0.2">
      <c r="A8437" s="366"/>
    </row>
    <row r="8438" spans="1:1" x14ac:dyDescent="0.2">
      <c r="A8438" s="366"/>
    </row>
    <row r="8439" spans="1:1" x14ac:dyDescent="0.2">
      <c r="A8439" s="366"/>
    </row>
    <row r="8440" spans="1:1" x14ac:dyDescent="0.2">
      <c r="A8440" s="366"/>
    </row>
    <row r="8441" spans="1:1" x14ac:dyDescent="0.2">
      <c r="A8441" s="366"/>
    </row>
    <row r="8442" spans="1:1" x14ac:dyDescent="0.2">
      <c r="A8442" s="366"/>
    </row>
    <row r="8443" spans="1:1" x14ac:dyDescent="0.2">
      <c r="A8443" s="366"/>
    </row>
    <row r="8444" spans="1:1" x14ac:dyDescent="0.2">
      <c r="A8444" s="366"/>
    </row>
    <row r="8445" spans="1:1" x14ac:dyDescent="0.2">
      <c r="A8445" s="366"/>
    </row>
    <row r="8446" spans="1:1" x14ac:dyDescent="0.2">
      <c r="A8446" s="366"/>
    </row>
    <row r="8447" spans="1:1" x14ac:dyDescent="0.2">
      <c r="A8447" s="366"/>
    </row>
    <row r="8448" spans="1:1" x14ac:dyDescent="0.2">
      <c r="A8448" s="366"/>
    </row>
    <row r="8449" spans="1:1" x14ac:dyDescent="0.2">
      <c r="A8449" s="366"/>
    </row>
    <row r="8450" spans="1:1" x14ac:dyDescent="0.2">
      <c r="A8450" s="366"/>
    </row>
    <row r="8451" spans="1:1" x14ac:dyDescent="0.2">
      <c r="A8451" s="366"/>
    </row>
    <row r="8452" spans="1:1" x14ac:dyDescent="0.2">
      <c r="A8452" s="366"/>
    </row>
    <row r="8453" spans="1:1" x14ac:dyDescent="0.2">
      <c r="A8453" s="366"/>
    </row>
    <row r="8454" spans="1:1" x14ac:dyDescent="0.2">
      <c r="A8454" s="366"/>
    </row>
    <row r="8455" spans="1:1" x14ac:dyDescent="0.2">
      <c r="A8455" s="366"/>
    </row>
    <row r="8456" spans="1:1" x14ac:dyDescent="0.2">
      <c r="A8456" s="366"/>
    </row>
    <row r="8457" spans="1:1" x14ac:dyDescent="0.2">
      <c r="A8457" s="366"/>
    </row>
    <row r="8458" spans="1:1" x14ac:dyDescent="0.2">
      <c r="A8458" s="366"/>
    </row>
    <row r="8459" spans="1:1" x14ac:dyDescent="0.2">
      <c r="A8459" s="366"/>
    </row>
    <row r="8460" spans="1:1" x14ac:dyDescent="0.2">
      <c r="A8460" s="366"/>
    </row>
    <row r="8461" spans="1:1" x14ac:dyDescent="0.2">
      <c r="A8461" s="366"/>
    </row>
    <row r="8462" spans="1:1" x14ac:dyDescent="0.2">
      <c r="A8462" s="366"/>
    </row>
    <row r="8463" spans="1:1" x14ac:dyDescent="0.2">
      <c r="A8463" s="366"/>
    </row>
    <row r="8464" spans="1:1" x14ac:dyDescent="0.2">
      <c r="A8464" s="366"/>
    </row>
    <row r="8465" spans="1:1" x14ac:dyDescent="0.2">
      <c r="A8465" s="366"/>
    </row>
    <row r="8466" spans="1:1" x14ac:dyDescent="0.2">
      <c r="A8466" s="366"/>
    </row>
    <row r="8467" spans="1:1" x14ac:dyDescent="0.2">
      <c r="A8467" s="366"/>
    </row>
    <row r="8468" spans="1:1" x14ac:dyDescent="0.2">
      <c r="A8468" s="366"/>
    </row>
    <row r="8469" spans="1:1" x14ac:dyDescent="0.2">
      <c r="A8469" s="366"/>
    </row>
    <row r="8470" spans="1:1" x14ac:dyDescent="0.2">
      <c r="A8470" s="366"/>
    </row>
    <row r="8471" spans="1:1" x14ac:dyDescent="0.2">
      <c r="A8471" s="366"/>
    </row>
    <row r="8472" spans="1:1" x14ac:dyDescent="0.2">
      <c r="A8472" s="366"/>
    </row>
    <row r="8473" spans="1:1" x14ac:dyDescent="0.2">
      <c r="A8473" s="366"/>
    </row>
    <row r="8474" spans="1:1" x14ac:dyDescent="0.2">
      <c r="A8474" s="366"/>
    </row>
    <row r="8475" spans="1:1" x14ac:dyDescent="0.2">
      <c r="A8475" s="366"/>
    </row>
    <row r="8476" spans="1:1" x14ac:dyDescent="0.2">
      <c r="A8476" s="366"/>
    </row>
    <row r="8477" spans="1:1" x14ac:dyDescent="0.2">
      <c r="A8477" s="366"/>
    </row>
    <row r="8478" spans="1:1" x14ac:dyDescent="0.2">
      <c r="A8478" s="366"/>
    </row>
    <row r="8479" spans="1:1" x14ac:dyDescent="0.2">
      <c r="A8479" s="366"/>
    </row>
    <row r="8480" spans="1:1" x14ac:dyDescent="0.2">
      <c r="A8480" s="366"/>
    </row>
    <row r="8481" spans="1:1" x14ac:dyDescent="0.2">
      <c r="A8481" s="366"/>
    </row>
    <row r="8482" spans="1:1" x14ac:dyDescent="0.2">
      <c r="A8482" s="366"/>
    </row>
    <row r="8483" spans="1:1" x14ac:dyDescent="0.2">
      <c r="A8483" s="366"/>
    </row>
    <row r="8484" spans="1:1" x14ac:dyDescent="0.2">
      <c r="A8484" s="366"/>
    </row>
    <row r="8485" spans="1:1" x14ac:dyDescent="0.2">
      <c r="A8485" s="366"/>
    </row>
    <row r="8486" spans="1:1" x14ac:dyDescent="0.2">
      <c r="A8486" s="366"/>
    </row>
    <row r="8487" spans="1:1" x14ac:dyDescent="0.2">
      <c r="A8487" s="366"/>
    </row>
    <row r="8488" spans="1:1" x14ac:dyDescent="0.2">
      <c r="A8488" s="366"/>
    </row>
    <row r="8489" spans="1:1" x14ac:dyDescent="0.2">
      <c r="A8489" s="366"/>
    </row>
    <row r="8490" spans="1:1" x14ac:dyDescent="0.2">
      <c r="A8490" s="366"/>
    </row>
    <row r="8491" spans="1:1" x14ac:dyDescent="0.2">
      <c r="A8491" s="366"/>
    </row>
    <row r="8492" spans="1:1" x14ac:dyDescent="0.2">
      <c r="A8492" s="366"/>
    </row>
    <row r="8493" spans="1:1" x14ac:dyDescent="0.2">
      <c r="A8493" s="366"/>
    </row>
    <row r="8494" spans="1:1" x14ac:dyDescent="0.2">
      <c r="A8494" s="366"/>
    </row>
    <row r="8495" spans="1:1" x14ac:dyDescent="0.2">
      <c r="A8495" s="366"/>
    </row>
    <row r="8496" spans="1:1" x14ac:dyDescent="0.2">
      <c r="A8496" s="366"/>
    </row>
    <row r="8497" spans="1:1" x14ac:dyDescent="0.2">
      <c r="A8497" s="366"/>
    </row>
    <row r="8498" spans="1:1" x14ac:dyDescent="0.2">
      <c r="A8498" s="366"/>
    </row>
    <row r="8499" spans="1:1" x14ac:dyDescent="0.2">
      <c r="A8499" s="366"/>
    </row>
    <row r="8500" spans="1:1" x14ac:dyDescent="0.2">
      <c r="A8500" s="366"/>
    </row>
    <row r="8501" spans="1:1" x14ac:dyDescent="0.2">
      <c r="A8501" s="366"/>
    </row>
    <row r="8502" spans="1:1" x14ac:dyDescent="0.2">
      <c r="A8502" s="366"/>
    </row>
    <row r="8503" spans="1:1" x14ac:dyDescent="0.2">
      <c r="A8503" s="366"/>
    </row>
    <row r="8504" spans="1:1" x14ac:dyDescent="0.2">
      <c r="A8504" s="366"/>
    </row>
    <row r="8505" spans="1:1" x14ac:dyDescent="0.2">
      <c r="A8505" s="366"/>
    </row>
    <row r="8506" spans="1:1" x14ac:dyDescent="0.2">
      <c r="A8506" s="366"/>
    </row>
    <row r="8507" spans="1:1" x14ac:dyDescent="0.2">
      <c r="A8507" s="366"/>
    </row>
    <row r="8508" spans="1:1" x14ac:dyDescent="0.2">
      <c r="A8508" s="366"/>
    </row>
    <row r="8509" spans="1:1" x14ac:dyDescent="0.2">
      <c r="A8509" s="366"/>
    </row>
    <row r="8510" spans="1:1" x14ac:dyDescent="0.2">
      <c r="A8510" s="366"/>
    </row>
    <row r="8511" spans="1:1" x14ac:dyDescent="0.2">
      <c r="A8511" s="366"/>
    </row>
    <row r="8512" spans="1:1" x14ac:dyDescent="0.2">
      <c r="A8512" s="366"/>
    </row>
    <row r="8513" spans="1:1" x14ac:dyDescent="0.2">
      <c r="A8513" s="366"/>
    </row>
    <row r="8514" spans="1:1" x14ac:dyDescent="0.2">
      <c r="A8514" s="366"/>
    </row>
    <row r="8515" spans="1:1" x14ac:dyDescent="0.2">
      <c r="A8515" s="366"/>
    </row>
    <row r="8516" spans="1:1" x14ac:dyDescent="0.2">
      <c r="A8516" s="366"/>
    </row>
    <row r="8517" spans="1:1" x14ac:dyDescent="0.2">
      <c r="A8517" s="366"/>
    </row>
    <row r="8518" spans="1:1" x14ac:dyDescent="0.2">
      <c r="A8518" s="366"/>
    </row>
    <row r="8519" spans="1:1" x14ac:dyDescent="0.2">
      <c r="A8519" s="366"/>
    </row>
    <row r="8520" spans="1:1" x14ac:dyDescent="0.2">
      <c r="A8520" s="366"/>
    </row>
    <row r="8521" spans="1:1" x14ac:dyDescent="0.2">
      <c r="A8521" s="366"/>
    </row>
    <row r="8522" spans="1:1" x14ac:dyDescent="0.2">
      <c r="A8522" s="366"/>
    </row>
    <row r="8523" spans="1:1" x14ac:dyDescent="0.2">
      <c r="A8523" s="366"/>
    </row>
    <row r="8524" spans="1:1" x14ac:dyDescent="0.2">
      <c r="A8524" s="366"/>
    </row>
    <row r="8525" spans="1:1" x14ac:dyDescent="0.2">
      <c r="A8525" s="366"/>
    </row>
    <row r="8526" spans="1:1" x14ac:dyDescent="0.2">
      <c r="A8526" s="366"/>
    </row>
    <row r="8527" spans="1:1" x14ac:dyDescent="0.2">
      <c r="A8527" s="366"/>
    </row>
    <row r="8528" spans="1:1" x14ac:dyDescent="0.2">
      <c r="A8528" s="366"/>
    </row>
    <row r="8529" spans="1:1" x14ac:dyDescent="0.2">
      <c r="A8529" s="366"/>
    </row>
    <row r="8530" spans="1:1" x14ac:dyDescent="0.2">
      <c r="A8530" s="366"/>
    </row>
    <row r="8531" spans="1:1" x14ac:dyDescent="0.2">
      <c r="A8531" s="366"/>
    </row>
    <row r="8532" spans="1:1" x14ac:dyDescent="0.2">
      <c r="A8532" s="366"/>
    </row>
    <row r="8533" spans="1:1" x14ac:dyDescent="0.2">
      <c r="A8533" s="366"/>
    </row>
    <row r="8534" spans="1:1" x14ac:dyDescent="0.2">
      <c r="A8534" s="366"/>
    </row>
    <row r="8535" spans="1:1" x14ac:dyDescent="0.2">
      <c r="A8535" s="366"/>
    </row>
    <row r="8536" spans="1:1" x14ac:dyDescent="0.2">
      <c r="A8536" s="366"/>
    </row>
    <row r="8537" spans="1:1" x14ac:dyDescent="0.2">
      <c r="A8537" s="366"/>
    </row>
    <row r="8538" spans="1:1" x14ac:dyDescent="0.2">
      <c r="A8538" s="366"/>
    </row>
    <row r="8539" spans="1:1" x14ac:dyDescent="0.2">
      <c r="A8539" s="366"/>
    </row>
    <row r="8540" spans="1:1" x14ac:dyDescent="0.2">
      <c r="A8540" s="366"/>
    </row>
    <row r="8541" spans="1:1" x14ac:dyDescent="0.2">
      <c r="A8541" s="366"/>
    </row>
    <row r="8542" spans="1:1" x14ac:dyDescent="0.2">
      <c r="A8542" s="366"/>
    </row>
    <row r="8543" spans="1:1" x14ac:dyDescent="0.2">
      <c r="A8543" s="366"/>
    </row>
    <row r="8544" spans="1:1" x14ac:dyDescent="0.2">
      <c r="A8544" s="366"/>
    </row>
    <row r="8545" spans="1:1" x14ac:dyDescent="0.2">
      <c r="A8545" s="366"/>
    </row>
    <row r="8546" spans="1:1" x14ac:dyDescent="0.2">
      <c r="A8546" s="366"/>
    </row>
    <row r="8547" spans="1:1" x14ac:dyDescent="0.2">
      <c r="A8547" s="366"/>
    </row>
    <row r="8548" spans="1:1" x14ac:dyDescent="0.2">
      <c r="A8548" s="366"/>
    </row>
    <row r="8549" spans="1:1" x14ac:dyDescent="0.2">
      <c r="A8549" s="366"/>
    </row>
    <row r="8550" spans="1:1" x14ac:dyDescent="0.2">
      <c r="A8550" s="366"/>
    </row>
    <row r="8551" spans="1:1" x14ac:dyDescent="0.2">
      <c r="A8551" s="366"/>
    </row>
    <row r="8552" spans="1:1" x14ac:dyDescent="0.2">
      <c r="A8552" s="366"/>
    </row>
    <row r="8553" spans="1:1" x14ac:dyDescent="0.2">
      <c r="A8553" s="366"/>
    </row>
    <row r="8554" spans="1:1" x14ac:dyDescent="0.2">
      <c r="A8554" s="366"/>
    </row>
    <row r="8555" spans="1:1" x14ac:dyDescent="0.2">
      <c r="A8555" s="366"/>
    </row>
    <row r="8556" spans="1:1" x14ac:dyDescent="0.2">
      <c r="A8556" s="366"/>
    </row>
    <row r="8557" spans="1:1" x14ac:dyDescent="0.2">
      <c r="A8557" s="366"/>
    </row>
    <row r="8558" spans="1:1" x14ac:dyDescent="0.2">
      <c r="A8558" s="366"/>
    </row>
    <row r="8559" spans="1:1" x14ac:dyDescent="0.2">
      <c r="A8559" s="366"/>
    </row>
    <row r="8560" spans="1:1" x14ac:dyDescent="0.2">
      <c r="A8560" s="366"/>
    </row>
    <row r="8561" spans="1:1" x14ac:dyDescent="0.2">
      <c r="A8561" s="366"/>
    </row>
    <row r="8562" spans="1:1" x14ac:dyDescent="0.2">
      <c r="A8562" s="366"/>
    </row>
    <row r="8563" spans="1:1" x14ac:dyDescent="0.2">
      <c r="A8563" s="366"/>
    </row>
    <row r="8564" spans="1:1" x14ac:dyDescent="0.2">
      <c r="A8564" s="366"/>
    </row>
    <row r="8565" spans="1:1" x14ac:dyDescent="0.2">
      <c r="A8565" s="366"/>
    </row>
    <row r="8566" spans="1:1" x14ac:dyDescent="0.2">
      <c r="A8566" s="366"/>
    </row>
    <row r="8567" spans="1:1" x14ac:dyDescent="0.2">
      <c r="A8567" s="366"/>
    </row>
    <row r="8568" spans="1:1" x14ac:dyDescent="0.2">
      <c r="A8568" s="366"/>
    </row>
    <row r="8569" spans="1:1" x14ac:dyDescent="0.2">
      <c r="A8569" s="366"/>
    </row>
    <row r="8570" spans="1:1" x14ac:dyDescent="0.2">
      <c r="A8570" s="366"/>
    </row>
    <row r="8571" spans="1:1" x14ac:dyDescent="0.2">
      <c r="A8571" s="366"/>
    </row>
    <row r="8572" spans="1:1" x14ac:dyDescent="0.2">
      <c r="A8572" s="366"/>
    </row>
    <row r="8573" spans="1:1" x14ac:dyDescent="0.2">
      <c r="A8573" s="366"/>
    </row>
    <row r="8574" spans="1:1" x14ac:dyDescent="0.2">
      <c r="A8574" s="366"/>
    </row>
    <row r="8575" spans="1:1" x14ac:dyDescent="0.2">
      <c r="A8575" s="366"/>
    </row>
    <row r="8576" spans="1:1" x14ac:dyDescent="0.2">
      <c r="A8576" s="366"/>
    </row>
    <row r="8577" spans="1:1" x14ac:dyDescent="0.2">
      <c r="A8577" s="366"/>
    </row>
    <row r="8578" spans="1:1" x14ac:dyDescent="0.2">
      <c r="A8578" s="366"/>
    </row>
    <row r="8579" spans="1:1" x14ac:dyDescent="0.2">
      <c r="A8579" s="366"/>
    </row>
    <row r="8580" spans="1:1" x14ac:dyDescent="0.2">
      <c r="A8580" s="366"/>
    </row>
    <row r="8581" spans="1:1" x14ac:dyDescent="0.2">
      <c r="A8581" s="366"/>
    </row>
    <row r="8582" spans="1:1" x14ac:dyDescent="0.2">
      <c r="A8582" s="366"/>
    </row>
    <row r="8583" spans="1:1" x14ac:dyDescent="0.2">
      <c r="A8583" s="366"/>
    </row>
    <row r="8584" spans="1:1" x14ac:dyDescent="0.2">
      <c r="A8584" s="366"/>
    </row>
    <row r="8585" spans="1:1" x14ac:dyDescent="0.2">
      <c r="A8585" s="366"/>
    </row>
    <row r="8586" spans="1:1" x14ac:dyDescent="0.2">
      <c r="A8586" s="366"/>
    </row>
    <row r="8587" spans="1:1" x14ac:dyDescent="0.2">
      <c r="A8587" s="366"/>
    </row>
    <row r="8588" spans="1:1" x14ac:dyDescent="0.2">
      <c r="A8588" s="366"/>
    </row>
    <row r="8589" spans="1:1" x14ac:dyDescent="0.2">
      <c r="A8589" s="366"/>
    </row>
    <row r="8590" spans="1:1" x14ac:dyDescent="0.2">
      <c r="A8590" s="366"/>
    </row>
    <row r="8591" spans="1:1" x14ac:dyDescent="0.2">
      <c r="A8591" s="366"/>
    </row>
    <row r="8592" spans="1:1" x14ac:dyDescent="0.2">
      <c r="A8592" s="366"/>
    </row>
    <row r="8593" spans="1:1" x14ac:dyDescent="0.2">
      <c r="A8593" s="366"/>
    </row>
    <row r="8594" spans="1:1" x14ac:dyDescent="0.2">
      <c r="A8594" s="366"/>
    </row>
    <row r="8595" spans="1:1" x14ac:dyDescent="0.2">
      <c r="A8595" s="366"/>
    </row>
    <row r="8596" spans="1:1" x14ac:dyDescent="0.2">
      <c r="A8596" s="366"/>
    </row>
    <row r="8597" spans="1:1" x14ac:dyDescent="0.2">
      <c r="A8597" s="366"/>
    </row>
    <row r="8598" spans="1:1" x14ac:dyDescent="0.2">
      <c r="A8598" s="366"/>
    </row>
    <row r="8599" spans="1:1" x14ac:dyDescent="0.2">
      <c r="A8599" s="366"/>
    </row>
    <row r="8600" spans="1:1" x14ac:dyDescent="0.2">
      <c r="A8600" s="366"/>
    </row>
    <row r="8601" spans="1:1" x14ac:dyDescent="0.2">
      <c r="A8601" s="366"/>
    </row>
    <row r="8602" spans="1:1" x14ac:dyDescent="0.2">
      <c r="A8602" s="366"/>
    </row>
    <row r="8603" spans="1:1" x14ac:dyDescent="0.2">
      <c r="A8603" s="366"/>
    </row>
    <row r="8604" spans="1:1" x14ac:dyDescent="0.2">
      <c r="A8604" s="366"/>
    </row>
    <row r="8605" spans="1:1" x14ac:dyDescent="0.2">
      <c r="A8605" s="366"/>
    </row>
    <row r="8606" spans="1:1" x14ac:dyDescent="0.2">
      <c r="A8606" s="366"/>
    </row>
    <row r="8607" spans="1:1" x14ac:dyDescent="0.2">
      <c r="A8607" s="366"/>
    </row>
    <row r="8608" spans="1:1" x14ac:dyDescent="0.2">
      <c r="A8608" s="366"/>
    </row>
    <row r="8609" spans="1:1" x14ac:dyDescent="0.2">
      <c r="A8609" s="366"/>
    </row>
    <row r="8610" spans="1:1" x14ac:dyDescent="0.2">
      <c r="A8610" s="366"/>
    </row>
    <row r="8611" spans="1:1" x14ac:dyDescent="0.2">
      <c r="A8611" s="366"/>
    </row>
    <row r="8612" spans="1:1" x14ac:dyDescent="0.2">
      <c r="A8612" s="366"/>
    </row>
    <row r="8613" spans="1:1" x14ac:dyDescent="0.2">
      <c r="A8613" s="366"/>
    </row>
    <row r="8614" spans="1:1" x14ac:dyDescent="0.2">
      <c r="A8614" s="366"/>
    </row>
    <row r="8615" spans="1:1" x14ac:dyDescent="0.2">
      <c r="A8615" s="366"/>
    </row>
    <row r="8616" spans="1:1" x14ac:dyDescent="0.2">
      <c r="A8616" s="366"/>
    </row>
    <row r="8617" spans="1:1" x14ac:dyDescent="0.2">
      <c r="A8617" s="366"/>
    </row>
    <row r="8618" spans="1:1" x14ac:dyDescent="0.2">
      <c r="A8618" s="366"/>
    </row>
    <row r="8619" spans="1:1" x14ac:dyDescent="0.2">
      <c r="A8619" s="366"/>
    </row>
    <row r="8620" spans="1:1" x14ac:dyDescent="0.2">
      <c r="A8620" s="366"/>
    </row>
    <row r="8621" spans="1:1" x14ac:dyDescent="0.2">
      <c r="A8621" s="366"/>
    </row>
    <row r="8622" spans="1:1" x14ac:dyDescent="0.2">
      <c r="A8622" s="366"/>
    </row>
    <row r="8623" spans="1:1" x14ac:dyDescent="0.2">
      <c r="A8623" s="366"/>
    </row>
    <row r="8624" spans="1:1" x14ac:dyDescent="0.2">
      <c r="A8624" s="366"/>
    </row>
    <row r="8625" spans="1:1" x14ac:dyDescent="0.2">
      <c r="A8625" s="366"/>
    </row>
    <row r="8626" spans="1:1" x14ac:dyDescent="0.2">
      <c r="A8626" s="366"/>
    </row>
    <row r="8627" spans="1:1" x14ac:dyDescent="0.2">
      <c r="A8627" s="366"/>
    </row>
    <row r="8628" spans="1:1" x14ac:dyDescent="0.2">
      <c r="A8628" s="366"/>
    </row>
    <row r="8629" spans="1:1" x14ac:dyDescent="0.2">
      <c r="A8629" s="366"/>
    </row>
    <row r="8630" spans="1:1" x14ac:dyDescent="0.2">
      <c r="A8630" s="366"/>
    </row>
    <row r="8631" spans="1:1" x14ac:dyDescent="0.2">
      <c r="A8631" s="366"/>
    </row>
    <row r="8632" spans="1:1" x14ac:dyDescent="0.2">
      <c r="A8632" s="366"/>
    </row>
    <row r="8633" spans="1:1" x14ac:dyDescent="0.2">
      <c r="A8633" s="366"/>
    </row>
    <row r="8634" spans="1:1" x14ac:dyDescent="0.2">
      <c r="A8634" s="366"/>
    </row>
    <row r="8635" spans="1:1" x14ac:dyDescent="0.2">
      <c r="A8635" s="366"/>
    </row>
    <row r="8636" spans="1:1" x14ac:dyDescent="0.2">
      <c r="A8636" s="366"/>
    </row>
    <row r="8637" spans="1:1" x14ac:dyDescent="0.2">
      <c r="A8637" s="366"/>
    </row>
    <row r="8638" spans="1:1" x14ac:dyDescent="0.2">
      <c r="A8638" s="366"/>
    </row>
    <row r="8639" spans="1:1" x14ac:dyDescent="0.2">
      <c r="A8639" s="366"/>
    </row>
    <row r="8640" spans="1:1" x14ac:dyDescent="0.2">
      <c r="A8640" s="366"/>
    </row>
    <row r="8641" spans="1:1" x14ac:dyDescent="0.2">
      <c r="A8641" s="366"/>
    </row>
    <row r="8642" spans="1:1" x14ac:dyDescent="0.2">
      <c r="A8642" s="366"/>
    </row>
    <row r="8643" spans="1:1" x14ac:dyDescent="0.2">
      <c r="A8643" s="366"/>
    </row>
    <row r="8644" spans="1:1" x14ac:dyDescent="0.2">
      <c r="A8644" s="366"/>
    </row>
    <row r="8645" spans="1:1" x14ac:dyDescent="0.2">
      <c r="A8645" s="366"/>
    </row>
    <row r="8646" spans="1:1" x14ac:dyDescent="0.2">
      <c r="A8646" s="366"/>
    </row>
    <row r="8647" spans="1:1" x14ac:dyDescent="0.2">
      <c r="A8647" s="366"/>
    </row>
    <row r="8648" spans="1:1" x14ac:dyDescent="0.2">
      <c r="A8648" s="366"/>
    </row>
    <row r="8649" spans="1:1" x14ac:dyDescent="0.2">
      <c r="A8649" s="366"/>
    </row>
    <row r="8650" spans="1:1" x14ac:dyDescent="0.2">
      <c r="A8650" s="366"/>
    </row>
    <row r="8651" spans="1:1" x14ac:dyDescent="0.2">
      <c r="A8651" s="366"/>
    </row>
    <row r="8652" spans="1:1" x14ac:dyDescent="0.2">
      <c r="A8652" s="366"/>
    </row>
    <row r="8653" spans="1:1" x14ac:dyDescent="0.2">
      <c r="A8653" s="366"/>
    </row>
    <row r="8654" spans="1:1" x14ac:dyDescent="0.2">
      <c r="A8654" s="366"/>
    </row>
    <row r="8655" spans="1:1" x14ac:dyDescent="0.2">
      <c r="A8655" s="366"/>
    </row>
    <row r="8656" spans="1:1" x14ac:dyDescent="0.2">
      <c r="A8656" s="366"/>
    </row>
    <row r="8657" spans="1:1" x14ac:dyDescent="0.2">
      <c r="A8657" s="366"/>
    </row>
    <row r="8658" spans="1:1" x14ac:dyDescent="0.2">
      <c r="A8658" s="366"/>
    </row>
    <row r="8659" spans="1:1" x14ac:dyDescent="0.2">
      <c r="A8659" s="366"/>
    </row>
    <row r="8660" spans="1:1" x14ac:dyDescent="0.2">
      <c r="A8660" s="366"/>
    </row>
    <row r="8661" spans="1:1" x14ac:dyDescent="0.2">
      <c r="A8661" s="366"/>
    </row>
    <row r="8662" spans="1:1" x14ac:dyDescent="0.2">
      <c r="A8662" s="366"/>
    </row>
    <row r="8663" spans="1:1" x14ac:dyDescent="0.2">
      <c r="A8663" s="366"/>
    </row>
    <row r="8664" spans="1:1" x14ac:dyDescent="0.2">
      <c r="A8664" s="366"/>
    </row>
    <row r="8665" spans="1:1" x14ac:dyDescent="0.2">
      <c r="A8665" s="366"/>
    </row>
    <row r="8666" spans="1:1" x14ac:dyDescent="0.2">
      <c r="A8666" s="366"/>
    </row>
    <row r="8667" spans="1:1" x14ac:dyDescent="0.2">
      <c r="A8667" s="366"/>
    </row>
    <row r="8668" spans="1:1" x14ac:dyDescent="0.2">
      <c r="A8668" s="366"/>
    </row>
    <row r="8669" spans="1:1" x14ac:dyDescent="0.2">
      <c r="A8669" s="366"/>
    </row>
    <row r="8670" spans="1:1" x14ac:dyDescent="0.2">
      <c r="A8670" s="366"/>
    </row>
    <row r="8671" spans="1:1" x14ac:dyDescent="0.2">
      <c r="A8671" s="366"/>
    </row>
    <row r="8672" spans="1:1" x14ac:dyDescent="0.2">
      <c r="A8672" s="366"/>
    </row>
    <row r="8673" spans="1:1" x14ac:dyDescent="0.2">
      <c r="A8673" s="366"/>
    </row>
    <row r="8674" spans="1:1" x14ac:dyDescent="0.2">
      <c r="A8674" s="366"/>
    </row>
    <row r="8675" spans="1:1" x14ac:dyDescent="0.2">
      <c r="A8675" s="366"/>
    </row>
    <row r="8676" spans="1:1" x14ac:dyDescent="0.2">
      <c r="A8676" s="366"/>
    </row>
    <row r="8677" spans="1:1" x14ac:dyDescent="0.2">
      <c r="A8677" s="366"/>
    </row>
    <row r="8678" spans="1:1" x14ac:dyDescent="0.2">
      <c r="A8678" s="366"/>
    </row>
    <row r="8679" spans="1:1" x14ac:dyDescent="0.2">
      <c r="A8679" s="366"/>
    </row>
    <row r="8680" spans="1:1" x14ac:dyDescent="0.2">
      <c r="A8680" s="366"/>
    </row>
    <row r="8681" spans="1:1" x14ac:dyDescent="0.2">
      <c r="A8681" s="366"/>
    </row>
    <row r="8682" spans="1:1" x14ac:dyDescent="0.2">
      <c r="A8682" s="366"/>
    </row>
    <row r="8683" spans="1:1" x14ac:dyDescent="0.2">
      <c r="A8683" s="366"/>
    </row>
    <row r="8684" spans="1:1" x14ac:dyDescent="0.2">
      <c r="A8684" s="366"/>
    </row>
    <row r="8685" spans="1:1" x14ac:dyDescent="0.2">
      <c r="A8685" s="366"/>
    </row>
    <row r="8686" spans="1:1" x14ac:dyDescent="0.2">
      <c r="A8686" s="366"/>
    </row>
    <row r="8687" spans="1:1" x14ac:dyDescent="0.2">
      <c r="A8687" s="366"/>
    </row>
    <row r="8688" spans="1:1" x14ac:dyDescent="0.2">
      <c r="A8688" s="366"/>
    </row>
    <row r="8689" spans="1:1" x14ac:dyDescent="0.2">
      <c r="A8689" s="366"/>
    </row>
    <row r="8690" spans="1:1" x14ac:dyDescent="0.2">
      <c r="A8690" s="366"/>
    </row>
    <row r="8691" spans="1:1" x14ac:dyDescent="0.2">
      <c r="A8691" s="366"/>
    </row>
    <row r="8692" spans="1:1" x14ac:dyDescent="0.2">
      <c r="A8692" s="366"/>
    </row>
    <row r="8693" spans="1:1" x14ac:dyDescent="0.2">
      <c r="A8693" s="366"/>
    </row>
    <row r="8694" spans="1:1" x14ac:dyDescent="0.2">
      <c r="A8694" s="366"/>
    </row>
    <row r="8695" spans="1:1" x14ac:dyDescent="0.2">
      <c r="A8695" s="366"/>
    </row>
    <row r="8696" spans="1:1" x14ac:dyDescent="0.2">
      <c r="A8696" s="366"/>
    </row>
    <row r="8697" spans="1:1" x14ac:dyDescent="0.2">
      <c r="A8697" s="366"/>
    </row>
    <row r="8698" spans="1:1" x14ac:dyDescent="0.2">
      <c r="A8698" s="366"/>
    </row>
    <row r="8699" spans="1:1" x14ac:dyDescent="0.2">
      <c r="A8699" s="366"/>
    </row>
    <row r="8700" spans="1:1" x14ac:dyDescent="0.2">
      <c r="A8700" s="366"/>
    </row>
    <row r="8701" spans="1:1" x14ac:dyDescent="0.2">
      <c r="A8701" s="366"/>
    </row>
    <row r="8702" spans="1:1" x14ac:dyDescent="0.2">
      <c r="A8702" s="366"/>
    </row>
    <row r="8703" spans="1:1" x14ac:dyDescent="0.2">
      <c r="A8703" s="366"/>
    </row>
    <row r="8704" spans="1:1" x14ac:dyDescent="0.2">
      <c r="A8704" s="366"/>
    </row>
    <row r="8705" spans="1:1" x14ac:dyDescent="0.2">
      <c r="A8705" s="366"/>
    </row>
    <row r="8706" spans="1:1" x14ac:dyDescent="0.2">
      <c r="A8706" s="366"/>
    </row>
    <row r="8707" spans="1:1" x14ac:dyDescent="0.2">
      <c r="A8707" s="366"/>
    </row>
    <row r="8708" spans="1:1" x14ac:dyDescent="0.2">
      <c r="A8708" s="366"/>
    </row>
    <row r="8709" spans="1:1" x14ac:dyDescent="0.2">
      <c r="A8709" s="366"/>
    </row>
    <row r="8710" spans="1:1" x14ac:dyDescent="0.2">
      <c r="A8710" s="366"/>
    </row>
    <row r="8711" spans="1:1" x14ac:dyDescent="0.2">
      <c r="A8711" s="366"/>
    </row>
    <row r="8712" spans="1:1" x14ac:dyDescent="0.2">
      <c r="A8712" s="366"/>
    </row>
    <row r="8713" spans="1:1" x14ac:dyDescent="0.2">
      <c r="A8713" s="366"/>
    </row>
    <row r="8714" spans="1:1" x14ac:dyDescent="0.2">
      <c r="A8714" s="366"/>
    </row>
    <row r="8715" spans="1:1" x14ac:dyDescent="0.2">
      <c r="A8715" s="366"/>
    </row>
    <row r="8716" spans="1:1" x14ac:dyDescent="0.2">
      <c r="A8716" s="366"/>
    </row>
    <row r="8717" spans="1:1" x14ac:dyDescent="0.2">
      <c r="A8717" s="366"/>
    </row>
    <row r="8718" spans="1:1" x14ac:dyDescent="0.2">
      <c r="A8718" s="366"/>
    </row>
    <row r="8719" spans="1:1" x14ac:dyDescent="0.2">
      <c r="A8719" s="366"/>
    </row>
    <row r="8720" spans="1:1" x14ac:dyDescent="0.2">
      <c r="A8720" s="366"/>
    </row>
    <row r="8721" spans="1:1" x14ac:dyDescent="0.2">
      <c r="A8721" s="366"/>
    </row>
    <row r="8722" spans="1:1" x14ac:dyDescent="0.2">
      <c r="A8722" s="366"/>
    </row>
    <row r="8723" spans="1:1" x14ac:dyDescent="0.2">
      <c r="A8723" s="366"/>
    </row>
    <row r="8724" spans="1:1" x14ac:dyDescent="0.2">
      <c r="A8724" s="366"/>
    </row>
    <row r="8725" spans="1:1" x14ac:dyDescent="0.2">
      <c r="A8725" s="366"/>
    </row>
    <row r="8726" spans="1:1" x14ac:dyDescent="0.2">
      <c r="A8726" s="366"/>
    </row>
    <row r="8727" spans="1:1" x14ac:dyDescent="0.2">
      <c r="A8727" s="366"/>
    </row>
    <row r="8728" spans="1:1" x14ac:dyDescent="0.2">
      <c r="A8728" s="366"/>
    </row>
    <row r="8729" spans="1:1" x14ac:dyDescent="0.2">
      <c r="A8729" s="366"/>
    </row>
    <row r="8730" spans="1:1" x14ac:dyDescent="0.2">
      <c r="A8730" s="366"/>
    </row>
    <row r="8731" spans="1:1" x14ac:dyDescent="0.2">
      <c r="A8731" s="366"/>
    </row>
    <row r="8732" spans="1:1" x14ac:dyDescent="0.2">
      <c r="A8732" s="366"/>
    </row>
    <row r="8733" spans="1:1" x14ac:dyDescent="0.2">
      <c r="A8733" s="366"/>
    </row>
    <row r="8734" spans="1:1" x14ac:dyDescent="0.2">
      <c r="A8734" s="366"/>
    </row>
    <row r="8735" spans="1:1" x14ac:dyDescent="0.2">
      <c r="A8735" s="366"/>
    </row>
    <row r="8736" spans="1:1" x14ac:dyDescent="0.2">
      <c r="A8736" s="366"/>
    </row>
    <row r="8737" spans="1:1" x14ac:dyDescent="0.2">
      <c r="A8737" s="366"/>
    </row>
    <row r="8738" spans="1:1" x14ac:dyDescent="0.2">
      <c r="A8738" s="366"/>
    </row>
    <row r="8739" spans="1:1" x14ac:dyDescent="0.2">
      <c r="A8739" s="366"/>
    </row>
    <row r="8740" spans="1:1" x14ac:dyDescent="0.2">
      <c r="A8740" s="366"/>
    </row>
    <row r="8741" spans="1:1" x14ac:dyDescent="0.2">
      <c r="A8741" s="366"/>
    </row>
    <row r="8742" spans="1:1" x14ac:dyDescent="0.2">
      <c r="A8742" s="366"/>
    </row>
    <row r="8743" spans="1:1" x14ac:dyDescent="0.2">
      <c r="A8743" s="366"/>
    </row>
    <row r="8744" spans="1:1" x14ac:dyDescent="0.2">
      <c r="A8744" s="366"/>
    </row>
    <row r="8745" spans="1:1" x14ac:dyDescent="0.2">
      <c r="A8745" s="366"/>
    </row>
    <row r="8746" spans="1:1" x14ac:dyDescent="0.2">
      <c r="A8746" s="366"/>
    </row>
    <row r="8747" spans="1:1" x14ac:dyDescent="0.2">
      <c r="A8747" s="366"/>
    </row>
    <row r="8748" spans="1:1" x14ac:dyDescent="0.2">
      <c r="A8748" s="366"/>
    </row>
    <row r="8749" spans="1:1" x14ac:dyDescent="0.2">
      <c r="A8749" s="366"/>
    </row>
    <row r="8750" spans="1:1" x14ac:dyDescent="0.2">
      <c r="A8750" s="366"/>
    </row>
    <row r="8751" spans="1:1" x14ac:dyDescent="0.2">
      <c r="A8751" s="366"/>
    </row>
    <row r="8752" spans="1:1" x14ac:dyDescent="0.2">
      <c r="A8752" s="366"/>
    </row>
    <row r="8753" spans="1:1" x14ac:dyDescent="0.2">
      <c r="A8753" s="366"/>
    </row>
    <row r="8754" spans="1:1" x14ac:dyDescent="0.2">
      <c r="A8754" s="366"/>
    </row>
    <row r="8755" spans="1:1" x14ac:dyDescent="0.2">
      <c r="A8755" s="366"/>
    </row>
    <row r="8756" spans="1:1" x14ac:dyDescent="0.2">
      <c r="A8756" s="366"/>
    </row>
    <row r="8757" spans="1:1" x14ac:dyDescent="0.2">
      <c r="A8757" s="366"/>
    </row>
    <row r="8758" spans="1:1" x14ac:dyDescent="0.2">
      <c r="A8758" s="366"/>
    </row>
    <row r="8759" spans="1:1" x14ac:dyDescent="0.2">
      <c r="A8759" s="366"/>
    </row>
    <row r="8760" spans="1:1" x14ac:dyDescent="0.2">
      <c r="A8760" s="366"/>
    </row>
    <row r="8761" spans="1:1" x14ac:dyDescent="0.2">
      <c r="A8761" s="366"/>
    </row>
    <row r="8762" spans="1:1" x14ac:dyDescent="0.2">
      <c r="A8762" s="366"/>
    </row>
    <row r="8763" spans="1:1" x14ac:dyDescent="0.2">
      <c r="A8763" s="366"/>
    </row>
    <row r="8764" spans="1:1" x14ac:dyDescent="0.2">
      <c r="A8764" s="366"/>
    </row>
    <row r="8765" spans="1:1" x14ac:dyDescent="0.2">
      <c r="A8765" s="366"/>
    </row>
    <row r="8766" spans="1:1" x14ac:dyDescent="0.2">
      <c r="A8766" s="366"/>
    </row>
    <row r="8767" spans="1:1" x14ac:dyDescent="0.2">
      <c r="A8767" s="366"/>
    </row>
    <row r="8768" spans="1:1" x14ac:dyDescent="0.2">
      <c r="A8768" s="366"/>
    </row>
    <row r="8769" spans="1:1" x14ac:dyDescent="0.2">
      <c r="A8769" s="366"/>
    </row>
    <row r="8770" spans="1:1" x14ac:dyDescent="0.2">
      <c r="A8770" s="366"/>
    </row>
    <row r="8771" spans="1:1" x14ac:dyDescent="0.2">
      <c r="A8771" s="366"/>
    </row>
    <row r="8772" spans="1:1" x14ac:dyDescent="0.2">
      <c r="A8772" s="366"/>
    </row>
    <row r="8773" spans="1:1" x14ac:dyDescent="0.2">
      <c r="A8773" s="366"/>
    </row>
    <row r="8774" spans="1:1" x14ac:dyDescent="0.2">
      <c r="A8774" s="366"/>
    </row>
    <row r="8775" spans="1:1" x14ac:dyDescent="0.2">
      <c r="A8775" s="366"/>
    </row>
    <row r="8776" spans="1:1" x14ac:dyDescent="0.2">
      <c r="A8776" s="366"/>
    </row>
    <row r="8777" spans="1:1" x14ac:dyDescent="0.2">
      <c r="A8777" s="366"/>
    </row>
    <row r="8778" spans="1:1" x14ac:dyDescent="0.2">
      <c r="A8778" s="366"/>
    </row>
    <row r="8779" spans="1:1" x14ac:dyDescent="0.2">
      <c r="A8779" s="366"/>
    </row>
    <row r="8780" spans="1:1" x14ac:dyDescent="0.2">
      <c r="A8780" s="366"/>
    </row>
    <row r="8781" spans="1:1" x14ac:dyDescent="0.2">
      <c r="A8781" s="366"/>
    </row>
    <row r="8782" spans="1:1" x14ac:dyDescent="0.2">
      <c r="A8782" s="366"/>
    </row>
    <row r="8783" spans="1:1" x14ac:dyDescent="0.2">
      <c r="A8783" s="366"/>
    </row>
    <row r="8784" spans="1:1" x14ac:dyDescent="0.2">
      <c r="A8784" s="366"/>
    </row>
    <row r="8785" spans="1:1" x14ac:dyDescent="0.2">
      <c r="A8785" s="366"/>
    </row>
    <row r="8786" spans="1:1" x14ac:dyDescent="0.2">
      <c r="A8786" s="366"/>
    </row>
    <row r="8787" spans="1:1" x14ac:dyDescent="0.2">
      <c r="A8787" s="366"/>
    </row>
    <row r="8788" spans="1:1" x14ac:dyDescent="0.2">
      <c r="A8788" s="366"/>
    </row>
    <row r="8789" spans="1:1" x14ac:dyDescent="0.2">
      <c r="A8789" s="366"/>
    </row>
    <row r="8790" spans="1:1" x14ac:dyDescent="0.2">
      <c r="A8790" s="366"/>
    </row>
    <row r="8791" spans="1:1" x14ac:dyDescent="0.2">
      <c r="A8791" s="366"/>
    </row>
    <row r="8792" spans="1:1" x14ac:dyDescent="0.2">
      <c r="A8792" s="366"/>
    </row>
    <row r="8793" spans="1:1" x14ac:dyDescent="0.2">
      <c r="A8793" s="366"/>
    </row>
    <row r="8794" spans="1:1" x14ac:dyDescent="0.2">
      <c r="A8794" s="366"/>
    </row>
    <row r="8795" spans="1:1" x14ac:dyDescent="0.2">
      <c r="A8795" s="366"/>
    </row>
    <row r="8796" spans="1:1" x14ac:dyDescent="0.2">
      <c r="A8796" s="366"/>
    </row>
    <row r="8797" spans="1:1" x14ac:dyDescent="0.2">
      <c r="A8797" s="366"/>
    </row>
    <row r="8798" spans="1:1" x14ac:dyDescent="0.2">
      <c r="A8798" s="366"/>
    </row>
    <row r="8799" spans="1:1" x14ac:dyDescent="0.2">
      <c r="A8799" s="366"/>
    </row>
    <row r="8800" spans="1:1" x14ac:dyDescent="0.2">
      <c r="A8800" s="366"/>
    </row>
    <row r="8801" spans="1:1" x14ac:dyDescent="0.2">
      <c r="A8801" s="366"/>
    </row>
    <row r="8802" spans="1:1" x14ac:dyDescent="0.2">
      <c r="A8802" s="366"/>
    </row>
    <row r="8803" spans="1:1" x14ac:dyDescent="0.2">
      <c r="A8803" s="366"/>
    </row>
    <row r="8804" spans="1:1" x14ac:dyDescent="0.2">
      <c r="A8804" s="366"/>
    </row>
    <row r="8805" spans="1:1" x14ac:dyDescent="0.2">
      <c r="A8805" s="366"/>
    </row>
    <row r="8806" spans="1:1" x14ac:dyDescent="0.2">
      <c r="A8806" s="366"/>
    </row>
    <row r="8807" spans="1:1" x14ac:dyDescent="0.2">
      <c r="A8807" s="366"/>
    </row>
    <row r="8808" spans="1:1" x14ac:dyDescent="0.2">
      <c r="A8808" s="366"/>
    </row>
    <row r="8809" spans="1:1" x14ac:dyDescent="0.2">
      <c r="A8809" s="366"/>
    </row>
    <row r="8810" spans="1:1" x14ac:dyDescent="0.2">
      <c r="A8810" s="366"/>
    </row>
    <row r="8811" spans="1:1" x14ac:dyDescent="0.2">
      <c r="A8811" s="366"/>
    </row>
    <row r="8812" spans="1:1" x14ac:dyDescent="0.2">
      <c r="A8812" s="366"/>
    </row>
    <row r="8813" spans="1:1" x14ac:dyDescent="0.2">
      <c r="A8813" s="366"/>
    </row>
    <row r="8814" spans="1:1" x14ac:dyDescent="0.2">
      <c r="A8814" s="366"/>
    </row>
    <row r="8815" spans="1:1" x14ac:dyDescent="0.2">
      <c r="A8815" s="366"/>
    </row>
    <row r="8816" spans="1:1" x14ac:dyDescent="0.2">
      <c r="A8816" s="366"/>
    </row>
    <row r="8817" spans="1:1" x14ac:dyDescent="0.2">
      <c r="A8817" s="366"/>
    </row>
    <row r="8818" spans="1:1" x14ac:dyDescent="0.2">
      <c r="A8818" s="366"/>
    </row>
    <row r="8819" spans="1:1" x14ac:dyDescent="0.2">
      <c r="A8819" s="366"/>
    </row>
    <row r="8820" spans="1:1" x14ac:dyDescent="0.2">
      <c r="A8820" s="366"/>
    </row>
    <row r="8821" spans="1:1" x14ac:dyDescent="0.2">
      <c r="A8821" s="366"/>
    </row>
    <row r="8822" spans="1:1" x14ac:dyDescent="0.2">
      <c r="A8822" s="366"/>
    </row>
    <row r="8823" spans="1:1" x14ac:dyDescent="0.2">
      <c r="A8823" s="366"/>
    </row>
    <row r="8824" spans="1:1" x14ac:dyDescent="0.2">
      <c r="A8824" s="366"/>
    </row>
    <row r="8825" spans="1:1" x14ac:dyDescent="0.2">
      <c r="A8825" s="366"/>
    </row>
    <row r="8826" spans="1:1" x14ac:dyDescent="0.2">
      <c r="A8826" s="366"/>
    </row>
    <row r="8827" spans="1:1" x14ac:dyDescent="0.2">
      <c r="A8827" s="366"/>
    </row>
    <row r="8828" spans="1:1" x14ac:dyDescent="0.2">
      <c r="A8828" s="366"/>
    </row>
    <row r="8829" spans="1:1" x14ac:dyDescent="0.2">
      <c r="A8829" s="366"/>
    </row>
    <row r="8830" spans="1:1" x14ac:dyDescent="0.2">
      <c r="A8830" s="366"/>
    </row>
    <row r="8831" spans="1:1" x14ac:dyDescent="0.2">
      <c r="A8831" s="366"/>
    </row>
    <row r="8832" spans="1:1" x14ac:dyDescent="0.2">
      <c r="A8832" s="366"/>
    </row>
    <row r="8833" spans="1:1" x14ac:dyDescent="0.2">
      <c r="A8833" s="366"/>
    </row>
    <row r="8834" spans="1:1" x14ac:dyDescent="0.2">
      <c r="A8834" s="366"/>
    </row>
    <row r="8835" spans="1:1" x14ac:dyDescent="0.2">
      <c r="A8835" s="366"/>
    </row>
    <row r="8836" spans="1:1" x14ac:dyDescent="0.2">
      <c r="A8836" s="366"/>
    </row>
    <row r="8837" spans="1:1" x14ac:dyDescent="0.2">
      <c r="A8837" s="366"/>
    </row>
    <row r="8838" spans="1:1" x14ac:dyDescent="0.2">
      <c r="A8838" s="366"/>
    </row>
    <row r="8839" spans="1:1" x14ac:dyDescent="0.2">
      <c r="A8839" s="366"/>
    </row>
    <row r="8840" spans="1:1" x14ac:dyDescent="0.2">
      <c r="A8840" s="366"/>
    </row>
    <row r="8841" spans="1:1" x14ac:dyDescent="0.2">
      <c r="A8841" s="366"/>
    </row>
    <row r="8842" spans="1:1" x14ac:dyDescent="0.2">
      <c r="A8842" s="366"/>
    </row>
    <row r="8843" spans="1:1" x14ac:dyDescent="0.2">
      <c r="A8843" s="366"/>
    </row>
    <row r="8844" spans="1:1" x14ac:dyDescent="0.2">
      <c r="A8844" s="366"/>
    </row>
    <row r="8845" spans="1:1" x14ac:dyDescent="0.2">
      <c r="A8845" s="366"/>
    </row>
    <row r="8846" spans="1:1" x14ac:dyDescent="0.2">
      <c r="A8846" s="366"/>
    </row>
    <row r="8847" spans="1:1" x14ac:dyDescent="0.2">
      <c r="A8847" s="366"/>
    </row>
    <row r="8848" spans="1:1" x14ac:dyDescent="0.2">
      <c r="A8848" s="366"/>
    </row>
    <row r="8849" spans="1:1" x14ac:dyDescent="0.2">
      <c r="A8849" s="366"/>
    </row>
    <row r="8850" spans="1:1" x14ac:dyDescent="0.2">
      <c r="A8850" s="366"/>
    </row>
    <row r="8851" spans="1:1" x14ac:dyDescent="0.2">
      <c r="A8851" s="366"/>
    </row>
    <row r="8852" spans="1:1" x14ac:dyDescent="0.2">
      <c r="A8852" s="366"/>
    </row>
    <row r="8853" spans="1:1" x14ac:dyDescent="0.2">
      <c r="A8853" s="366"/>
    </row>
    <row r="8854" spans="1:1" x14ac:dyDescent="0.2">
      <c r="A8854" s="366"/>
    </row>
    <row r="8855" spans="1:1" x14ac:dyDescent="0.2">
      <c r="A8855" s="366"/>
    </row>
    <row r="8856" spans="1:1" x14ac:dyDescent="0.2">
      <c r="A8856" s="366"/>
    </row>
    <row r="8857" spans="1:1" x14ac:dyDescent="0.2">
      <c r="A8857" s="366"/>
    </row>
    <row r="8858" spans="1:1" x14ac:dyDescent="0.2">
      <c r="A8858" s="366"/>
    </row>
    <row r="8859" spans="1:1" x14ac:dyDescent="0.2">
      <c r="A8859" s="366"/>
    </row>
    <row r="8860" spans="1:1" x14ac:dyDescent="0.2">
      <c r="A8860" s="366"/>
    </row>
    <row r="8861" spans="1:1" x14ac:dyDescent="0.2">
      <c r="A8861" s="366"/>
    </row>
    <row r="8862" spans="1:1" x14ac:dyDescent="0.2">
      <c r="A8862" s="366"/>
    </row>
    <row r="8863" spans="1:1" x14ac:dyDescent="0.2">
      <c r="A8863" s="366"/>
    </row>
    <row r="8864" spans="1:1" x14ac:dyDescent="0.2">
      <c r="A8864" s="366"/>
    </row>
    <row r="8865" spans="1:1" x14ac:dyDescent="0.2">
      <c r="A8865" s="366"/>
    </row>
    <row r="8866" spans="1:1" x14ac:dyDescent="0.2">
      <c r="A8866" s="366"/>
    </row>
    <row r="8867" spans="1:1" x14ac:dyDescent="0.2">
      <c r="A8867" s="366"/>
    </row>
    <row r="8868" spans="1:1" x14ac:dyDescent="0.2">
      <c r="A8868" s="366"/>
    </row>
    <row r="8869" spans="1:1" x14ac:dyDescent="0.2">
      <c r="A8869" s="366"/>
    </row>
    <row r="8870" spans="1:1" x14ac:dyDescent="0.2">
      <c r="A8870" s="366"/>
    </row>
    <row r="8871" spans="1:1" x14ac:dyDescent="0.2">
      <c r="A8871" s="366"/>
    </row>
    <row r="8872" spans="1:1" x14ac:dyDescent="0.2">
      <c r="A8872" s="366"/>
    </row>
    <row r="8873" spans="1:1" x14ac:dyDescent="0.2">
      <c r="A8873" s="366"/>
    </row>
    <row r="8874" spans="1:1" x14ac:dyDescent="0.2">
      <c r="A8874" s="366"/>
    </row>
    <row r="8875" spans="1:1" x14ac:dyDescent="0.2">
      <c r="A8875" s="366"/>
    </row>
    <row r="8876" spans="1:1" x14ac:dyDescent="0.2">
      <c r="A8876" s="366"/>
    </row>
    <row r="8877" spans="1:1" x14ac:dyDescent="0.2">
      <c r="A8877" s="366"/>
    </row>
    <row r="8878" spans="1:1" x14ac:dyDescent="0.2">
      <c r="A8878" s="366"/>
    </row>
    <row r="8879" spans="1:1" x14ac:dyDescent="0.2">
      <c r="A8879" s="366"/>
    </row>
    <row r="8880" spans="1:1" x14ac:dyDescent="0.2">
      <c r="A8880" s="366"/>
    </row>
    <row r="8881" spans="1:1" x14ac:dyDescent="0.2">
      <c r="A8881" s="366"/>
    </row>
    <row r="8882" spans="1:1" x14ac:dyDescent="0.2">
      <c r="A8882" s="366"/>
    </row>
    <row r="8883" spans="1:1" x14ac:dyDescent="0.2">
      <c r="A8883" s="366"/>
    </row>
    <row r="8884" spans="1:1" x14ac:dyDescent="0.2">
      <c r="A8884" s="366"/>
    </row>
    <row r="8885" spans="1:1" x14ac:dyDescent="0.2">
      <c r="A8885" s="366"/>
    </row>
    <row r="8886" spans="1:1" x14ac:dyDescent="0.2">
      <c r="A8886" s="366"/>
    </row>
    <row r="8887" spans="1:1" x14ac:dyDescent="0.2">
      <c r="A8887" s="366"/>
    </row>
    <row r="8888" spans="1:1" x14ac:dyDescent="0.2">
      <c r="A8888" s="366"/>
    </row>
    <row r="8889" spans="1:1" x14ac:dyDescent="0.2">
      <c r="A8889" s="366"/>
    </row>
    <row r="8890" spans="1:1" x14ac:dyDescent="0.2">
      <c r="A8890" s="366"/>
    </row>
    <row r="8891" spans="1:1" x14ac:dyDescent="0.2">
      <c r="A8891" s="366"/>
    </row>
    <row r="8892" spans="1:1" x14ac:dyDescent="0.2">
      <c r="A8892" s="366"/>
    </row>
    <row r="8893" spans="1:1" x14ac:dyDescent="0.2">
      <c r="A8893" s="366"/>
    </row>
    <row r="8894" spans="1:1" x14ac:dyDescent="0.2">
      <c r="A8894" s="366"/>
    </row>
    <row r="8895" spans="1:1" x14ac:dyDescent="0.2">
      <c r="A8895" s="366"/>
    </row>
    <row r="8896" spans="1:1" x14ac:dyDescent="0.2">
      <c r="A8896" s="366"/>
    </row>
    <row r="8897" spans="1:1" x14ac:dyDescent="0.2">
      <c r="A8897" s="366"/>
    </row>
    <row r="8898" spans="1:1" x14ac:dyDescent="0.2">
      <c r="A8898" s="366"/>
    </row>
    <row r="8899" spans="1:1" x14ac:dyDescent="0.2">
      <c r="A8899" s="366"/>
    </row>
    <row r="8900" spans="1:1" x14ac:dyDescent="0.2">
      <c r="A8900" s="366"/>
    </row>
    <row r="8901" spans="1:1" x14ac:dyDescent="0.2">
      <c r="A8901" s="366"/>
    </row>
    <row r="8902" spans="1:1" x14ac:dyDescent="0.2">
      <c r="A8902" s="366"/>
    </row>
    <row r="8903" spans="1:1" x14ac:dyDescent="0.2">
      <c r="A8903" s="366"/>
    </row>
    <row r="8904" spans="1:1" x14ac:dyDescent="0.2">
      <c r="A8904" s="366"/>
    </row>
    <row r="8905" spans="1:1" x14ac:dyDescent="0.2">
      <c r="A8905" s="366"/>
    </row>
    <row r="8906" spans="1:1" x14ac:dyDescent="0.2">
      <c r="A8906" s="366"/>
    </row>
    <row r="8907" spans="1:1" x14ac:dyDescent="0.2">
      <c r="A8907" s="366"/>
    </row>
    <row r="8908" spans="1:1" x14ac:dyDescent="0.2">
      <c r="A8908" s="366"/>
    </row>
    <row r="8909" spans="1:1" x14ac:dyDescent="0.2">
      <c r="A8909" s="366"/>
    </row>
    <row r="8910" spans="1:1" x14ac:dyDescent="0.2">
      <c r="A8910" s="366"/>
    </row>
    <row r="8911" spans="1:1" x14ac:dyDescent="0.2">
      <c r="A8911" s="366"/>
    </row>
    <row r="8912" spans="1:1" x14ac:dyDescent="0.2">
      <c r="A8912" s="366"/>
    </row>
    <row r="8913" spans="1:1" x14ac:dyDescent="0.2">
      <c r="A8913" s="366"/>
    </row>
    <row r="8914" spans="1:1" x14ac:dyDescent="0.2">
      <c r="A8914" s="366"/>
    </row>
    <row r="8915" spans="1:1" x14ac:dyDescent="0.2">
      <c r="A8915" s="366"/>
    </row>
    <row r="8916" spans="1:1" x14ac:dyDescent="0.2">
      <c r="A8916" s="366"/>
    </row>
    <row r="8917" spans="1:1" x14ac:dyDescent="0.2">
      <c r="A8917" s="366"/>
    </row>
    <row r="8918" spans="1:1" x14ac:dyDescent="0.2">
      <c r="A8918" s="366"/>
    </row>
    <row r="8919" spans="1:1" x14ac:dyDescent="0.2">
      <c r="A8919" s="366"/>
    </row>
    <row r="8920" spans="1:1" x14ac:dyDescent="0.2">
      <c r="A8920" s="366"/>
    </row>
    <row r="8921" spans="1:1" x14ac:dyDescent="0.2">
      <c r="A8921" s="366"/>
    </row>
    <row r="8922" spans="1:1" x14ac:dyDescent="0.2">
      <c r="A8922" s="366"/>
    </row>
    <row r="8923" spans="1:1" x14ac:dyDescent="0.2">
      <c r="A8923" s="366"/>
    </row>
    <row r="8924" spans="1:1" x14ac:dyDescent="0.2">
      <c r="A8924" s="366"/>
    </row>
    <row r="8925" spans="1:1" x14ac:dyDescent="0.2">
      <c r="A8925" s="366"/>
    </row>
    <row r="8926" spans="1:1" x14ac:dyDescent="0.2">
      <c r="A8926" s="366"/>
    </row>
    <row r="8927" spans="1:1" x14ac:dyDescent="0.2">
      <c r="A8927" s="366"/>
    </row>
    <row r="8928" spans="1:1" x14ac:dyDescent="0.2">
      <c r="A8928" s="366"/>
    </row>
    <row r="8929" spans="1:1" x14ac:dyDescent="0.2">
      <c r="A8929" s="366"/>
    </row>
    <row r="8930" spans="1:1" x14ac:dyDescent="0.2">
      <c r="A8930" s="366"/>
    </row>
    <row r="8931" spans="1:1" x14ac:dyDescent="0.2">
      <c r="A8931" s="366"/>
    </row>
    <row r="8932" spans="1:1" x14ac:dyDescent="0.2">
      <c r="A8932" s="366"/>
    </row>
    <row r="8933" spans="1:1" x14ac:dyDescent="0.2">
      <c r="A8933" s="366"/>
    </row>
    <row r="8934" spans="1:1" x14ac:dyDescent="0.2">
      <c r="A8934" s="366"/>
    </row>
    <row r="8935" spans="1:1" x14ac:dyDescent="0.2">
      <c r="A8935" s="366"/>
    </row>
    <row r="8936" spans="1:1" x14ac:dyDescent="0.2">
      <c r="A8936" s="366"/>
    </row>
    <row r="8937" spans="1:1" x14ac:dyDescent="0.2">
      <c r="A8937" s="366"/>
    </row>
    <row r="8938" spans="1:1" x14ac:dyDescent="0.2">
      <c r="A8938" s="366"/>
    </row>
    <row r="8939" spans="1:1" x14ac:dyDescent="0.2">
      <c r="A8939" s="366"/>
    </row>
    <row r="8940" spans="1:1" x14ac:dyDescent="0.2">
      <c r="A8940" s="366"/>
    </row>
    <row r="8941" spans="1:1" x14ac:dyDescent="0.2">
      <c r="A8941" s="366"/>
    </row>
    <row r="8942" spans="1:1" x14ac:dyDescent="0.2">
      <c r="A8942" s="366"/>
    </row>
    <row r="8943" spans="1:1" x14ac:dyDescent="0.2">
      <c r="A8943" s="366"/>
    </row>
    <row r="8944" spans="1:1" x14ac:dyDescent="0.2">
      <c r="A8944" s="366"/>
    </row>
    <row r="8945" spans="1:1" x14ac:dyDescent="0.2">
      <c r="A8945" s="366"/>
    </row>
    <row r="8946" spans="1:1" x14ac:dyDescent="0.2">
      <c r="A8946" s="366"/>
    </row>
    <row r="8947" spans="1:1" x14ac:dyDescent="0.2">
      <c r="A8947" s="366"/>
    </row>
    <row r="8948" spans="1:1" x14ac:dyDescent="0.2">
      <c r="A8948" s="366"/>
    </row>
    <row r="8949" spans="1:1" x14ac:dyDescent="0.2">
      <c r="A8949" s="366"/>
    </row>
    <row r="8950" spans="1:1" x14ac:dyDescent="0.2">
      <c r="A8950" s="366"/>
    </row>
    <row r="8951" spans="1:1" x14ac:dyDescent="0.2">
      <c r="A8951" s="366"/>
    </row>
    <row r="8952" spans="1:1" x14ac:dyDescent="0.2">
      <c r="A8952" s="366"/>
    </row>
    <row r="8953" spans="1:1" x14ac:dyDescent="0.2">
      <c r="A8953" s="366"/>
    </row>
    <row r="8954" spans="1:1" x14ac:dyDescent="0.2">
      <c r="A8954" s="366"/>
    </row>
    <row r="8955" spans="1:1" x14ac:dyDescent="0.2">
      <c r="A8955" s="366"/>
    </row>
    <row r="8956" spans="1:1" x14ac:dyDescent="0.2">
      <c r="A8956" s="366"/>
    </row>
    <row r="8957" spans="1:1" x14ac:dyDescent="0.2">
      <c r="A8957" s="366"/>
    </row>
    <row r="8958" spans="1:1" x14ac:dyDescent="0.2">
      <c r="A8958" s="366"/>
    </row>
    <row r="8959" spans="1:1" x14ac:dyDescent="0.2">
      <c r="A8959" s="366"/>
    </row>
    <row r="8960" spans="1:1" x14ac:dyDescent="0.2">
      <c r="A8960" s="366"/>
    </row>
    <row r="8961" spans="1:1" x14ac:dyDescent="0.2">
      <c r="A8961" s="366"/>
    </row>
    <row r="8962" spans="1:1" x14ac:dyDescent="0.2">
      <c r="A8962" s="366"/>
    </row>
    <row r="8963" spans="1:1" x14ac:dyDescent="0.2">
      <c r="A8963" s="366"/>
    </row>
    <row r="8964" spans="1:1" x14ac:dyDescent="0.2">
      <c r="A8964" s="366"/>
    </row>
    <row r="8965" spans="1:1" x14ac:dyDescent="0.2">
      <c r="A8965" s="366"/>
    </row>
    <row r="8966" spans="1:1" x14ac:dyDescent="0.2">
      <c r="A8966" s="366"/>
    </row>
    <row r="8967" spans="1:1" x14ac:dyDescent="0.2">
      <c r="A8967" s="366"/>
    </row>
    <row r="8968" spans="1:1" x14ac:dyDescent="0.2">
      <c r="A8968" s="366"/>
    </row>
    <row r="8969" spans="1:1" x14ac:dyDescent="0.2">
      <c r="A8969" s="366"/>
    </row>
    <row r="8970" spans="1:1" x14ac:dyDescent="0.2">
      <c r="A8970" s="366"/>
    </row>
    <row r="8971" spans="1:1" x14ac:dyDescent="0.2">
      <c r="A8971" s="366"/>
    </row>
    <row r="8972" spans="1:1" x14ac:dyDescent="0.2">
      <c r="A8972" s="366"/>
    </row>
    <row r="8973" spans="1:1" x14ac:dyDescent="0.2">
      <c r="A8973" s="366"/>
    </row>
    <row r="8974" spans="1:1" x14ac:dyDescent="0.2">
      <c r="A8974" s="366"/>
    </row>
    <row r="8975" spans="1:1" x14ac:dyDescent="0.2">
      <c r="A8975" s="366"/>
    </row>
    <row r="8976" spans="1:1" x14ac:dyDescent="0.2">
      <c r="A8976" s="366"/>
    </row>
    <row r="8977" spans="1:1" x14ac:dyDescent="0.2">
      <c r="A8977" s="366"/>
    </row>
    <row r="8978" spans="1:1" x14ac:dyDescent="0.2">
      <c r="A8978" s="366"/>
    </row>
    <row r="8979" spans="1:1" x14ac:dyDescent="0.2">
      <c r="A8979" s="366"/>
    </row>
    <row r="8980" spans="1:1" x14ac:dyDescent="0.2">
      <c r="A8980" s="366"/>
    </row>
    <row r="8981" spans="1:1" x14ac:dyDescent="0.2">
      <c r="A8981" s="366"/>
    </row>
    <row r="8982" spans="1:1" x14ac:dyDescent="0.2">
      <c r="A8982" s="366"/>
    </row>
    <row r="8983" spans="1:1" x14ac:dyDescent="0.2">
      <c r="A8983" s="366"/>
    </row>
    <row r="8984" spans="1:1" x14ac:dyDescent="0.2">
      <c r="A8984" s="366"/>
    </row>
    <row r="8985" spans="1:1" x14ac:dyDescent="0.2">
      <c r="A8985" s="366"/>
    </row>
    <row r="8986" spans="1:1" x14ac:dyDescent="0.2">
      <c r="A8986" s="366"/>
    </row>
    <row r="8987" spans="1:1" x14ac:dyDescent="0.2">
      <c r="A8987" s="366"/>
    </row>
    <row r="8988" spans="1:1" x14ac:dyDescent="0.2">
      <c r="A8988" s="366"/>
    </row>
    <row r="8989" spans="1:1" x14ac:dyDescent="0.2">
      <c r="A8989" s="366"/>
    </row>
    <row r="8990" spans="1:1" x14ac:dyDescent="0.2">
      <c r="A8990" s="366"/>
    </row>
    <row r="8991" spans="1:1" x14ac:dyDescent="0.2">
      <c r="A8991" s="366"/>
    </row>
    <row r="8992" spans="1:1" x14ac:dyDescent="0.2">
      <c r="A8992" s="366"/>
    </row>
    <row r="8993" spans="1:1" x14ac:dyDescent="0.2">
      <c r="A8993" s="366"/>
    </row>
    <row r="8994" spans="1:1" x14ac:dyDescent="0.2">
      <c r="A8994" s="366"/>
    </row>
    <row r="8995" spans="1:1" x14ac:dyDescent="0.2">
      <c r="A8995" s="366"/>
    </row>
    <row r="8996" spans="1:1" x14ac:dyDescent="0.2">
      <c r="A8996" s="366"/>
    </row>
    <row r="8997" spans="1:1" x14ac:dyDescent="0.2">
      <c r="A8997" s="366"/>
    </row>
    <row r="8998" spans="1:1" x14ac:dyDescent="0.2">
      <c r="A8998" s="366"/>
    </row>
    <row r="8999" spans="1:1" x14ac:dyDescent="0.2">
      <c r="A8999" s="366"/>
    </row>
    <row r="9000" spans="1:1" x14ac:dyDescent="0.2">
      <c r="A9000" s="366"/>
    </row>
    <row r="9001" spans="1:1" x14ac:dyDescent="0.2">
      <c r="A9001" s="366"/>
    </row>
    <row r="9002" spans="1:1" x14ac:dyDescent="0.2">
      <c r="A9002" s="366"/>
    </row>
    <row r="9003" spans="1:1" x14ac:dyDescent="0.2">
      <c r="A9003" s="366"/>
    </row>
    <row r="9004" spans="1:1" x14ac:dyDescent="0.2">
      <c r="A9004" s="366"/>
    </row>
    <row r="9005" spans="1:1" x14ac:dyDescent="0.2">
      <c r="A9005" s="366"/>
    </row>
    <row r="9006" spans="1:1" x14ac:dyDescent="0.2">
      <c r="A9006" s="366"/>
    </row>
    <row r="9007" spans="1:1" x14ac:dyDescent="0.2">
      <c r="A9007" s="366"/>
    </row>
    <row r="9008" spans="1:1" x14ac:dyDescent="0.2">
      <c r="A9008" s="366"/>
    </row>
    <row r="9009" spans="1:1" x14ac:dyDescent="0.2">
      <c r="A9009" s="366"/>
    </row>
    <row r="9010" spans="1:1" x14ac:dyDescent="0.2">
      <c r="A9010" s="366"/>
    </row>
    <row r="9011" spans="1:1" x14ac:dyDescent="0.2">
      <c r="A9011" s="366"/>
    </row>
    <row r="9012" spans="1:1" x14ac:dyDescent="0.2">
      <c r="A9012" s="366"/>
    </row>
    <row r="9013" spans="1:1" x14ac:dyDescent="0.2">
      <c r="A9013" s="366"/>
    </row>
    <row r="9014" spans="1:1" x14ac:dyDescent="0.2">
      <c r="A9014" s="366"/>
    </row>
    <row r="9015" spans="1:1" x14ac:dyDescent="0.2">
      <c r="A9015" s="366"/>
    </row>
    <row r="9016" spans="1:1" x14ac:dyDescent="0.2">
      <c r="A9016" s="366"/>
    </row>
    <row r="9017" spans="1:1" x14ac:dyDescent="0.2">
      <c r="A9017" s="366"/>
    </row>
    <row r="9018" spans="1:1" x14ac:dyDescent="0.2">
      <c r="A9018" s="366"/>
    </row>
    <row r="9019" spans="1:1" x14ac:dyDescent="0.2">
      <c r="A9019" s="366"/>
    </row>
    <row r="9020" spans="1:1" x14ac:dyDescent="0.2">
      <c r="A9020" s="366"/>
    </row>
    <row r="9021" spans="1:1" x14ac:dyDescent="0.2">
      <c r="A9021" s="366"/>
    </row>
    <row r="9022" spans="1:1" x14ac:dyDescent="0.2">
      <c r="A9022" s="366"/>
    </row>
    <row r="9023" spans="1:1" x14ac:dyDescent="0.2">
      <c r="A9023" s="366"/>
    </row>
    <row r="9024" spans="1:1" x14ac:dyDescent="0.2">
      <c r="A9024" s="366"/>
    </row>
    <row r="9025" spans="1:1" x14ac:dyDescent="0.2">
      <c r="A9025" s="366"/>
    </row>
    <row r="9026" spans="1:1" x14ac:dyDescent="0.2">
      <c r="A9026" s="366"/>
    </row>
    <row r="9027" spans="1:1" x14ac:dyDescent="0.2">
      <c r="A9027" s="366"/>
    </row>
    <row r="9028" spans="1:1" x14ac:dyDescent="0.2">
      <c r="A9028" s="366"/>
    </row>
    <row r="9029" spans="1:1" x14ac:dyDescent="0.2">
      <c r="A9029" s="366"/>
    </row>
    <row r="9030" spans="1:1" x14ac:dyDescent="0.2">
      <c r="A9030" s="366"/>
    </row>
    <row r="9031" spans="1:1" x14ac:dyDescent="0.2">
      <c r="A9031" s="366"/>
    </row>
    <row r="9032" spans="1:1" x14ac:dyDescent="0.2">
      <c r="A9032" s="366"/>
    </row>
    <row r="9033" spans="1:1" x14ac:dyDescent="0.2">
      <c r="A9033" s="366"/>
    </row>
    <row r="9034" spans="1:1" x14ac:dyDescent="0.2">
      <c r="A9034" s="366"/>
    </row>
    <row r="9035" spans="1:1" x14ac:dyDescent="0.2">
      <c r="A9035" s="366"/>
    </row>
    <row r="9036" spans="1:1" x14ac:dyDescent="0.2">
      <c r="A9036" s="366"/>
    </row>
    <row r="9037" spans="1:1" x14ac:dyDescent="0.2">
      <c r="A9037" s="366"/>
    </row>
    <row r="9038" spans="1:1" x14ac:dyDescent="0.2">
      <c r="A9038" s="366"/>
    </row>
    <row r="9039" spans="1:1" x14ac:dyDescent="0.2">
      <c r="A9039" s="366"/>
    </row>
    <row r="9040" spans="1:1" x14ac:dyDescent="0.2">
      <c r="A9040" s="366"/>
    </row>
    <row r="9041" spans="1:1" x14ac:dyDescent="0.2">
      <c r="A9041" s="366"/>
    </row>
    <row r="9042" spans="1:1" x14ac:dyDescent="0.2">
      <c r="A9042" s="366"/>
    </row>
    <row r="9043" spans="1:1" x14ac:dyDescent="0.2">
      <c r="A9043" s="366"/>
    </row>
    <row r="9044" spans="1:1" x14ac:dyDescent="0.2">
      <c r="A9044" s="366"/>
    </row>
    <row r="9045" spans="1:1" x14ac:dyDescent="0.2">
      <c r="A9045" s="366"/>
    </row>
    <row r="9046" spans="1:1" x14ac:dyDescent="0.2">
      <c r="A9046" s="366"/>
    </row>
    <row r="9047" spans="1:1" x14ac:dyDescent="0.2">
      <c r="A9047" s="366"/>
    </row>
    <row r="9048" spans="1:1" x14ac:dyDescent="0.2">
      <c r="A9048" s="366"/>
    </row>
    <row r="9049" spans="1:1" x14ac:dyDescent="0.2">
      <c r="A9049" s="366"/>
    </row>
    <row r="9050" spans="1:1" x14ac:dyDescent="0.2">
      <c r="A9050" s="366"/>
    </row>
    <row r="9051" spans="1:1" x14ac:dyDescent="0.2">
      <c r="A9051" s="366"/>
    </row>
    <row r="9052" spans="1:1" x14ac:dyDescent="0.2">
      <c r="A9052" s="366"/>
    </row>
    <row r="9053" spans="1:1" x14ac:dyDescent="0.2">
      <c r="A9053" s="366"/>
    </row>
    <row r="9054" spans="1:1" x14ac:dyDescent="0.2">
      <c r="A9054" s="366"/>
    </row>
    <row r="9055" spans="1:1" x14ac:dyDescent="0.2">
      <c r="A9055" s="366"/>
    </row>
    <row r="9056" spans="1:1" x14ac:dyDescent="0.2">
      <c r="A9056" s="366"/>
    </row>
    <row r="9057" spans="1:1" x14ac:dyDescent="0.2">
      <c r="A9057" s="366"/>
    </row>
    <row r="9058" spans="1:1" x14ac:dyDescent="0.2">
      <c r="A9058" s="366"/>
    </row>
    <row r="9059" spans="1:1" x14ac:dyDescent="0.2">
      <c r="A9059" s="366"/>
    </row>
    <row r="9060" spans="1:1" x14ac:dyDescent="0.2">
      <c r="A9060" s="366"/>
    </row>
    <row r="9061" spans="1:1" x14ac:dyDescent="0.2">
      <c r="A9061" s="366"/>
    </row>
    <row r="9062" spans="1:1" x14ac:dyDescent="0.2">
      <c r="A9062" s="366"/>
    </row>
    <row r="9063" spans="1:1" x14ac:dyDescent="0.2">
      <c r="A9063" s="366"/>
    </row>
    <row r="9064" spans="1:1" x14ac:dyDescent="0.2">
      <c r="A9064" s="366"/>
    </row>
    <row r="9065" spans="1:1" x14ac:dyDescent="0.2">
      <c r="A9065" s="366"/>
    </row>
    <row r="9066" spans="1:1" x14ac:dyDescent="0.2">
      <c r="A9066" s="366"/>
    </row>
    <row r="9067" spans="1:1" x14ac:dyDescent="0.2">
      <c r="A9067" s="366"/>
    </row>
    <row r="9068" spans="1:1" x14ac:dyDescent="0.2">
      <c r="A9068" s="366"/>
    </row>
    <row r="9069" spans="1:1" x14ac:dyDescent="0.2">
      <c r="A9069" s="366"/>
    </row>
    <row r="9070" spans="1:1" x14ac:dyDescent="0.2">
      <c r="A9070" s="366"/>
    </row>
    <row r="9071" spans="1:1" x14ac:dyDescent="0.2">
      <c r="A9071" s="366"/>
    </row>
    <row r="9072" spans="1:1" x14ac:dyDescent="0.2">
      <c r="A9072" s="366"/>
    </row>
    <row r="9073" spans="1:1" x14ac:dyDescent="0.2">
      <c r="A9073" s="366"/>
    </row>
    <row r="9074" spans="1:1" x14ac:dyDescent="0.2">
      <c r="A9074" s="366"/>
    </row>
    <row r="9075" spans="1:1" x14ac:dyDescent="0.2">
      <c r="A9075" s="366"/>
    </row>
    <row r="9076" spans="1:1" x14ac:dyDescent="0.2">
      <c r="A9076" s="366"/>
    </row>
    <row r="9077" spans="1:1" x14ac:dyDescent="0.2">
      <c r="A9077" s="366"/>
    </row>
    <row r="9078" spans="1:1" x14ac:dyDescent="0.2">
      <c r="A9078" s="366"/>
    </row>
    <row r="9079" spans="1:1" x14ac:dyDescent="0.2">
      <c r="A9079" s="366"/>
    </row>
    <row r="9080" spans="1:1" x14ac:dyDescent="0.2">
      <c r="A9080" s="366"/>
    </row>
    <row r="9081" spans="1:1" x14ac:dyDescent="0.2">
      <c r="A9081" s="366"/>
    </row>
    <row r="9082" spans="1:1" x14ac:dyDescent="0.2">
      <c r="A9082" s="366"/>
    </row>
    <row r="9083" spans="1:1" x14ac:dyDescent="0.2">
      <c r="A9083" s="366"/>
    </row>
    <row r="9084" spans="1:1" x14ac:dyDescent="0.2">
      <c r="A9084" s="366"/>
    </row>
    <row r="9085" spans="1:1" x14ac:dyDescent="0.2">
      <c r="A9085" s="366"/>
    </row>
    <row r="9086" spans="1:1" x14ac:dyDescent="0.2">
      <c r="A9086" s="366"/>
    </row>
    <row r="9087" spans="1:1" x14ac:dyDescent="0.2">
      <c r="A9087" s="366"/>
    </row>
    <row r="9088" spans="1:1" x14ac:dyDescent="0.2">
      <c r="A9088" s="366"/>
    </row>
    <row r="9089" spans="1:1" x14ac:dyDescent="0.2">
      <c r="A9089" s="366"/>
    </row>
    <row r="9090" spans="1:1" x14ac:dyDescent="0.2">
      <c r="A9090" s="366"/>
    </row>
    <row r="9091" spans="1:1" x14ac:dyDescent="0.2">
      <c r="A9091" s="366"/>
    </row>
    <row r="9092" spans="1:1" x14ac:dyDescent="0.2">
      <c r="A9092" s="366"/>
    </row>
    <row r="9093" spans="1:1" x14ac:dyDescent="0.2">
      <c r="A9093" s="366"/>
    </row>
    <row r="9094" spans="1:1" x14ac:dyDescent="0.2">
      <c r="A9094" s="366"/>
    </row>
    <row r="9095" spans="1:1" x14ac:dyDescent="0.2">
      <c r="A9095" s="366"/>
    </row>
    <row r="9096" spans="1:1" x14ac:dyDescent="0.2">
      <c r="A9096" s="366"/>
    </row>
    <row r="9097" spans="1:1" x14ac:dyDescent="0.2">
      <c r="A9097" s="366"/>
    </row>
    <row r="9098" spans="1:1" x14ac:dyDescent="0.2">
      <c r="A9098" s="366"/>
    </row>
    <row r="9099" spans="1:1" x14ac:dyDescent="0.2">
      <c r="A9099" s="366"/>
    </row>
    <row r="9100" spans="1:1" x14ac:dyDescent="0.2">
      <c r="A9100" s="366"/>
    </row>
    <row r="9101" spans="1:1" x14ac:dyDescent="0.2">
      <c r="A9101" s="366"/>
    </row>
    <row r="9102" spans="1:1" x14ac:dyDescent="0.2">
      <c r="A9102" s="366"/>
    </row>
    <row r="9103" spans="1:1" x14ac:dyDescent="0.2">
      <c r="A9103" s="366"/>
    </row>
    <row r="9104" spans="1:1" x14ac:dyDescent="0.2">
      <c r="A9104" s="366"/>
    </row>
    <row r="9105" spans="1:1" x14ac:dyDescent="0.2">
      <c r="A9105" s="366"/>
    </row>
    <row r="9106" spans="1:1" x14ac:dyDescent="0.2">
      <c r="A9106" s="366"/>
    </row>
    <row r="9107" spans="1:1" x14ac:dyDescent="0.2">
      <c r="A9107" s="366"/>
    </row>
    <row r="9108" spans="1:1" x14ac:dyDescent="0.2">
      <c r="A9108" s="366"/>
    </row>
    <row r="9109" spans="1:1" x14ac:dyDescent="0.2">
      <c r="A9109" s="366"/>
    </row>
    <row r="9110" spans="1:1" x14ac:dyDescent="0.2">
      <c r="A9110" s="366"/>
    </row>
    <row r="9111" spans="1:1" x14ac:dyDescent="0.2">
      <c r="A9111" s="366"/>
    </row>
    <row r="9112" spans="1:1" x14ac:dyDescent="0.2">
      <c r="A9112" s="366"/>
    </row>
    <row r="9113" spans="1:1" x14ac:dyDescent="0.2">
      <c r="A9113" s="366"/>
    </row>
    <row r="9114" spans="1:1" x14ac:dyDescent="0.2">
      <c r="A9114" s="366"/>
    </row>
    <row r="9115" spans="1:1" x14ac:dyDescent="0.2">
      <c r="A9115" s="366"/>
    </row>
    <row r="9116" spans="1:1" x14ac:dyDescent="0.2">
      <c r="A9116" s="366"/>
    </row>
    <row r="9117" spans="1:1" x14ac:dyDescent="0.2">
      <c r="A9117" s="366"/>
    </row>
    <row r="9118" spans="1:1" x14ac:dyDescent="0.2">
      <c r="A9118" s="366"/>
    </row>
    <row r="9119" spans="1:1" x14ac:dyDescent="0.2">
      <c r="A9119" s="366"/>
    </row>
    <row r="9120" spans="1:1" x14ac:dyDescent="0.2">
      <c r="A9120" s="366"/>
    </row>
    <row r="9121" spans="1:1" x14ac:dyDescent="0.2">
      <c r="A9121" s="366"/>
    </row>
    <row r="9122" spans="1:1" x14ac:dyDescent="0.2">
      <c r="A9122" s="366"/>
    </row>
    <row r="9123" spans="1:1" x14ac:dyDescent="0.2">
      <c r="A9123" s="366"/>
    </row>
    <row r="9124" spans="1:1" x14ac:dyDescent="0.2">
      <c r="A9124" s="366"/>
    </row>
    <row r="9125" spans="1:1" x14ac:dyDescent="0.2">
      <c r="A9125" s="366"/>
    </row>
    <row r="9126" spans="1:1" x14ac:dyDescent="0.2">
      <c r="A9126" s="366"/>
    </row>
    <row r="9127" spans="1:1" x14ac:dyDescent="0.2">
      <c r="A9127" s="366"/>
    </row>
    <row r="9128" spans="1:1" x14ac:dyDescent="0.2">
      <c r="A9128" s="366"/>
    </row>
    <row r="9129" spans="1:1" x14ac:dyDescent="0.2">
      <c r="A9129" s="366"/>
    </row>
    <row r="9130" spans="1:1" x14ac:dyDescent="0.2">
      <c r="A9130" s="366"/>
    </row>
    <row r="9131" spans="1:1" x14ac:dyDescent="0.2">
      <c r="A9131" s="366"/>
    </row>
    <row r="9132" spans="1:1" x14ac:dyDescent="0.2">
      <c r="A9132" s="366"/>
    </row>
    <row r="9133" spans="1:1" x14ac:dyDescent="0.2">
      <c r="A9133" s="366"/>
    </row>
    <row r="9134" spans="1:1" x14ac:dyDescent="0.2">
      <c r="A9134" s="366"/>
    </row>
    <row r="9135" spans="1:1" x14ac:dyDescent="0.2">
      <c r="A9135" s="366"/>
    </row>
    <row r="9136" spans="1:1" x14ac:dyDescent="0.2">
      <c r="A9136" s="366"/>
    </row>
    <row r="9137" spans="1:1" x14ac:dyDescent="0.2">
      <c r="A9137" s="366"/>
    </row>
    <row r="9138" spans="1:1" x14ac:dyDescent="0.2">
      <c r="A9138" s="366"/>
    </row>
    <row r="9139" spans="1:1" x14ac:dyDescent="0.2">
      <c r="A9139" s="366"/>
    </row>
    <row r="9140" spans="1:1" x14ac:dyDescent="0.2">
      <c r="A9140" s="366"/>
    </row>
    <row r="9141" spans="1:1" x14ac:dyDescent="0.2">
      <c r="A9141" s="366"/>
    </row>
    <row r="9142" spans="1:1" x14ac:dyDescent="0.2">
      <c r="A9142" s="366"/>
    </row>
    <row r="9143" spans="1:1" x14ac:dyDescent="0.2">
      <c r="A9143" s="366"/>
    </row>
    <row r="9144" spans="1:1" x14ac:dyDescent="0.2">
      <c r="A9144" s="366"/>
    </row>
    <row r="9145" spans="1:1" x14ac:dyDescent="0.2">
      <c r="A9145" s="366"/>
    </row>
    <row r="9146" spans="1:1" x14ac:dyDescent="0.2">
      <c r="A9146" s="366"/>
    </row>
    <row r="9147" spans="1:1" x14ac:dyDescent="0.2">
      <c r="A9147" s="366"/>
    </row>
    <row r="9148" spans="1:1" x14ac:dyDescent="0.2">
      <c r="A9148" s="366"/>
    </row>
    <row r="9149" spans="1:1" x14ac:dyDescent="0.2">
      <c r="A9149" s="366"/>
    </row>
    <row r="9150" spans="1:1" x14ac:dyDescent="0.2">
      <c r="A9150" s="366"/>
    </row>
    <row r="9151" spans="1:1" x14ac:dyDescent="0.2">
      <c r="A9151" s="366"/>
    </row>
    <row r="9152" spans="1:1" x14ac:dyDescent="0.2">
      <c r="A9152" s="366"/>
    </row>
    <row r="9153" spans="1:1" x14ac:dyDescent="0.2">
      <c r="A9153" s="366"/>
    </row>
    <row r="9154" spans="1:1" x14ac:dyDescent="0.2">
      <c r="A9154" s="366"/>
    </row>
    <row r="9155" spans="1:1" x14ac:dyDescent="0.2">
      <c r="A9155" s="366"/>
    </row>
    <row r="9156" spans="1:1" x14ac:dyDescent="0.2">
      <c r="A9156" s="366"/>
    </row>
    <row r="9157" spans="1:1" x14ac:dyDescent="0.2">
      <c r="A9157" s="366"/>
    </row>
    <row r="9158" spans="1:1" x14ac:dyDescent="0.2">
      <c r="A9158" s="366"/>
    </row>
    <row r="9159" spans="1:1" x14ac:dyDescent="0.2">
      <c r="A9159" s="366"/>
    </row>
    <row r="9160" spans="1:1" x14ac:dyDescent="0.2">
      <c r="A9160" s="366"/>
    </row>
    <row r="9161" spans="1:1" x14ac:dyDescent="0.2">
      <c r="A9161" s="366"/>
    </row>
    <row r="9162" spans="1:1" x14ac:dyDescent="0.2">
      <c r="A9162" s="366"/>
    </row>
    <row r="9163" spans="1:1" x14ac:dyDescent="0.2">
      <c r="A9163" s="366"/>
    </row>
    <row r="9164" spans="1:1" x14ac:dyDescent="0.2">
      <c r="A9164" s="366"/>
    </row>
    <row r="9165" spans="1:1" x14ac:dyDescent="0.2">
      <c r="A9165" s="366"/>
    </row>
    <row r="9166" spans="1:1" x14ac:dyDescent="0.2">
      <c r="A9166" s="366"/>
    </row>
    <row r="9167" spans="1:1" x14ac:dyDescent="0.2">
      <c r="A9167" s="366"/>
    </row>
    <row r="9168" spans="1:1" x14ac:dyDescent="0.2">
      <c r="A9168" s="366"/>
    </row>
    <row r="9169" spans="1:1" x14ac:dyDescent="0.2">
      <c r="A9169" s="366"/>
    </row>
    <row r="9170" spans="1:1" x14ac:dyDescent="0.2">
      <c r="A9170" s="366"/>
    </row>
    <row r="9171" spans="1:1" x14ac:dyDescent="0.2">
      <c r="A9171" s="366"/>
    </row>
    <row r="9172" spans="1:1" x14ac:dyDescent="0.2">
      <c r="A9172" s="366"/>
    </row>
    <row r="9173" spans="1:1" x14ac:dyDescent="0.2">
      <c r="A9173" s="366"/>
    </row>
    <row r="9174" spans="1:1" x14ac:dyDescent="0.2">
      <c r="A9174" s="366"/>
    </row>
    <row r="9175" spans="1:1" x14ac:dyDescent="0.2">
      <c r="A9175" s="366"/>
    </row>
    <row r="9176" spans="1:1" x14ac:dyDescent="0.2">
      <c r="A9176" s="366"/>
    </row>
    <row r="9177" spans="1:1" x14ac:dyDescent="0.2">
      <c r="A9177" s="366"/>
    </row>
    <row r="9178" spans="1:1" x14ac:dyDescent="0.2">
      <c r="A9178" s="366"/>
    </row>
    <row r="9179" spans="1:1" x14ac:dyDescent="0.2">
      <c r="A9179" s="366"/>
    </row>
    <row r="9180" spans="1:1" x14ac:dyDescent="0.2">
      <c r="A9180" s="366"/>
    </row>
    <row r="9181" spans="1:1" x14ac:dyDescent="0.2">
      <c r="A9181" s="366"/>
    </row>
    <row r="9182" spans="1:1" x14ac:dyDescent="0.2">
      <c r="A9182" s="366"/>
    </row>
    <row r="9183" spans="1:1" x14ac:dyDescent="0.2">
      <c r="A9183" s="366"/>
    </row>
    <row r="9184" spans="1:1" x14ac:dyDescent="0.2">
      <c r="A9184" s="366"/>
    </row>
    <row r="9185" spans="1:1" x14ac:dyDescent="0.2">
      <c r="A9185" s="366"/>
    </row>
    <row r="9186" spans="1:1" x14ac:dyDescent="0.2">
      <c r="A9186" s="366"/>
    </row>
    <row r="9187" spans="1:1" x14ac:dyDescent="0.2">
      <c r="A9187" s="366"/>
    </row>
    <row r="9188" spans="1:1" x14ac:dyDescent="0.2">
      <c r="A9188" s="366"/>
    </row>
    <row r="9189" spans="1:1" x14ac:dyDescent="0.2">
      <c r="A9189" s="366"/>
    </row>
    <row r="9190" spans="1:1" x14ac:dyDescent="0.2">
      <c r="A9190" s="366"/>
    </row>
    <row r="9191" spans="1:1" x14ac:dyDescent="0.2">
      <c r="A9191" s="366"/>
    </row>
    <row r="9192" spans="1:1" x14ac:dyDescent="0.2">
      <c r="A9192" s="366"/>
    </row>
    <row r="9193" spans="1:1" x14ac:dyDescent="0.2">
      <c r="A9193" s="366"/>
    </row>
    <row r="9194" spans="1:1" x14ac:dyDescent="0.2">
      <c r="A9194" s="366"/>
    </row>
    <row r="9195" spans="1:1" x14ac:dyDescent="0.2">
      <c r="A9195" s="366"/>
    </row>
    <row r="9196" spans="1:1" x14ac:dyDescent="0.2">
      <c r="A9196" s="366"/>
    </row>
    <row r="9197" spans="1:1" x14ac:dyDescent="0.2">
      <c r="A9197" s="366"/>
    </row>
    <row r="9198" spans="1:1" x14ac:dyDescent="0.2">
      <c r="A9198" s="366"/>
    </row>
    <row r="9199" spans="1:1" x14ac:dyDescent="0.2">
      <c r="A9199" s="366"/>
    </row>
    <row r="9200" spans="1:1" x14ac:dyDescent="0.2">
      <c r="A9200" s="366"/>
    </row>
    <row r="9201" spans="1:1" x14ac:dyDescent="0.2">
      <c r="A9201" s="366"/>
    </row>
    <row r="9202" spans="1:1" x14ac:dyDescent="0.2">
      <c r="A9202" s="366"/>
    </row>
    <row r="9203" spans="1:1" x14ac:dyDescent="0.2">
      <c r="A9203" s="366"/>
    </row>
    <row r="9204" spans="1:1" x14ac:dyDescent="0.2">
      <c r="A9204" s="366"/>
    </row>
    <row r="9205" spans="1:1" x14ac:dyDescent="0.2">
      <c r="A9205" s="366"/>
    </row>
    <row r="9206" spans="1:1" x14ac:dyDescent="0.2">
      <c r="A9206" s="366"/>
    </row>
    <row r="9207" spans="1:1" x14ac:dyDescent="0.2">
      <c r="A9207" s="366"/>
    </row>
    <row r="9208" spans="1:1" x14ac:dyDescent="0.2">
      <c r="A9208" s="366"/>
    </row>
    <row r="9209" spans="1:1" x14ac:dyDescent="0.2">
      <c r="A9209" s="366"/>
    </row>
    <row r="9210" spans="1:1" x14ac:dyDescent="0.2">
      <c r="A9210" s="366"/>
    </row>
    <row r="9211" spans="1:1" x14ac:dyDescent="0.2">
      <c r="A9211" s="366"/>
    </row>
    <row r="9212" spans="1:1" x14ac:dyDescent="0.2">
      <c r="A9212" s="366"/>
    </row>
    <row r="9213" spans="1:1" x14ac:dyDescent="0.2">
      <c r="A9213" s="366"/>
    </row>
    <row r="9214" spans="1:1" x14ac:dyDescent="0.2">
      <c r="A9214" s="366"/>
    </row>
    <row r="9215" spans="1:1" x14ac:dyDescent="0.2">
      <c r="A9215" s="366"/>
    </row>
    <row r="9216" spans="1:1" x14ac:dyDescent="0.2">
      <c r="A9216" s="366"/>
    </row>
    <row r="9217" spans="1:1" x14ac:dyDescent="0.2">
      <c r="A9217" s="366"/>
    </row>
    <row r="9218" spans="1:1" x14ac:dyDescent="0.2">
      <c r="A9218" s="366"/>
    </row>
    <row r="9219" spans="1:1" x14ac:dyDescent="0.2">
      <c r="A9219" s="366"/>
    </row>
    <row r="9220" spans="1:1" x14ac:dyDescent="0.2">
      <c r="A9220" s="366"/>
    </row>
    <row r="9221" spans="1:1" x14ac:dyDescent="0.2">
      <c r="A9221" s="366"/>
    </row>
    <row r="9222" spans="1:1" x14ac:dyDescent="0.2">
      <c r="A9222" s="366"/>
    </row>
    <row r="9223" spans="1:1" x14ac:dyDescent="0.2">
      <c r="A9223" s="366"/>
    </row>
    <row r="9224" spans="1:1" x14ac:dyDescent="0.2">
      <c r="A9224" s="366"/>
    </row>
    <row r="9225" spans="1:1" x14ac:dyDescent="0.2">
      <c r="A9225" s="366"/>
    </row>
    <row r="9226" spans="1:1" x14ac:dyDescent="0.2">
      <c r="A9226" s="366"/>
    </row>
    <row r="9227" spans="1:1" x14ac:dyDescent="0.2">
      <c r="A9227" s="366"/>
    </row>
    <row r="9228" spans="1:1" x14ac:dyDescent="0.2">
      <c r="A9228" s="366"/>
    </row>
    <row r="9229" spans="1:1" x14ac:dyDescent="0.2">
      <c r="A9229" s="366"/>
    </row>
    <row r="9230" spans="1:1" x14ac:dyDescent="0.2">
      <c r="A9230" s="366"/>
    </row>
    <row r="9231" spans="1:1" x14ac:dyDescent="0.2">
      <c r="A9231" s="366"/>
    </row>
    <row r="9232" spans="1:1" x14ac:dyDescent="0.2">
      <c r="A9232" s="366"/>
    </row>
    <row r="9233" spans="1:1" x14ac:dyDescent="0.2">
      <c r="A9233" s="366"/>
    </row>
    <row r="9234" spans="1:1" x14ac:dyDescent="0.2">
      <c r="A9234" s="366"/>
    </row>
    <row r="9235" spans="1:1" x14ac:dyDescent="0.2">
      <c r="A9235" s="366"/>
    </row>
    <row r="9236" spans="1:1" x14ac:dyDescent="0.2">
      <c r="A9236" s="366"/>
    </row>
    <row r="9237" spans="1:1" x14ac:dyDescent="0.2">
      <c r="A9237" s="366"/>
    </row>
    <row r="9238" spans="1:1" x14ac:dyDescent="0.2">
      <c r="A9238" s="366"/>
    </row>
    <row r="9239" spans="1:1" x14ac:dyDescent="0.2">
      <c r="A9239" s="366"/>
    </row>
    <row r="9240" spans="1:1" x14ac:dyDescent="0.2">
      <c r="A9240" s="366"/>
    </row>
    <row r="9241" spans="1:1" x14ac:dyDescent="0.2">
      <c r="A9241" s="366"/>
    </row>
    <row r="9242" spans="1:1" x14ac:dyDescent="0.2">
      <c r="A9242" s="366"/>
    </row>
    <row r="9243" spans="1:1" x14ac:dyDescent="0.2">
      <c r="A9243" s="366"/>
    </row>
    <row r="9244" spans="1:1" x14ac:dyDescent="0.2">
      <c r="A9244" s="366"/>
    </row>
    <row r="9245" spans="1:1" x14ac:dyDescent="0.2">
      <c r="A9245" s="366"/>
    </row>
    <row r="9246" spans="1:1" x14ac:dyDescent="0.2">
      <c r="A9246" s="366"/>
    </row>
    <row r="9247" spans="1:1" x14ac:dyDescent="0.2">
      <c r="A9247" s="366"/>
    </row>
    <row r="9248" spans="1:1" x14ac:dyDescent="0.2">
      <c r="A9248" s="366"/>
    </row>
    <row r="9249" spans="1:1" x14ac:dyDescent="0.2">
      <c r="A9249" s="366"/>
    </row>
    <row r="9250" spans="1:1" x14ac:dyDescent="0.2">
      <c r="A9250" s="366"/>
    </row>
    <row r="9251" spans="1:1" x14ac:dyDescent="0.2">
      <c r="A9251" s="366"/>
    </row>
    <row r="9252" spans="1:1" x14ac:dyDescent="0.2">
      <c r="A9252" s="366"/>
    </row>
    <row r="9253" spans="1:1" x14ac:dyDescent="0.2">
      <c r="A9253" s="366"/>
    </row>
    <row r="9254" spans="1:1" x14ac:dyDescent="0.2">
      <c r="A9254" s="366"/>
    </row>
    <row r="9255" spans="1:1" x14ac:dyDescent="0.2">
      <c r="A9255" s="366"/>
    </row>
    <row r="9256" spans="1:1" x14ac:dyDescent="0.2">
      <c r="A9256" s="366"/>
    </row>
    <row r="9257" spans="1:1" x14ac:dyDescent="0.2">
      <c r="A9257" s="366"/>
    </row>
    <row r="9258" spans="1:1" x14ac:dyDescent="0.2">
      <c r="A9258" s="366"/>
    </row>
    <row r="9259" spans="1:1" x14ac:dyDescent="0.2">
      <c r="A9259" s="366"/>
    </row>
    <row r="9260" spans="1:1" x14ac:dyDescent="0.2">
      <c r="A9260" s="366"/>
    </row>
    <row r="9261" spans="1:1" x14ac:dyDescent="0.2">
      <c r="A9261" s="366"/>
    </row>
    <row r="9262" spans="1:1" x14ac:dyDescent="0.2">
      <c r="A9262" s="366"/>
    </row>
    <row r="9263" spans="1:1" x14ac:dyDescent="0.2">
      <c r="A9263" s="366"/>
    </row>
    <row r="9264" spans="1:1" x14ac:dyDescent="0.2">
      <c r="A9264" s="366"/>
    </row>
    <row r="9265" spans="1:1" x14ac:dyDescent="0.2">
      <c r="A9265" s="366"/>
    </row>
    <row r="9266" spans="1:1" x14ac:dyDescent="0.2">
      <c r="A9266" s="366"/>
    </row>
    <row r="9267" spans="1:1" x14ac:dyDescent="0.2">
      <c r="A9267" s="366"/>
    </row>
    <row r="9268" spans="1:1" x14ac:dyDescent="0.2">
      <c r="A9268" s="366"/>
    </row>
    <row r="9269" spans="1:1" x14ac:dyDescent="0.2">
      <c r="A9269" s="366"/>
    </row>
    <row r="9270" spans="1:1" x14ac:dyDescent="0.2">
      <c r="A9270" s="366"/>
    </row>
    <row r="9271" spans="1:1" x14ac:dyDescent="0.2">
      <c r="A9271" s="366"/>
    </row>
    <row r="9272" spans="1:1" x14ac:dyDescent="0.2">
      <c r="A9272" s="366"/>
    </row>
    <row r="9273" spans="1:1" x14ac:dyDescent="0.2">
      <c r="A9273" s="366"/>
    </row>
    <row r="9274" spans="1:1" x14ac:dyDescent="0.2">
      <c r="A9274" s="366"/>
    </row>
    <row r="9275" spans="1:1" x14ac:dyDescent="0.2">
      <c r="A9275" s="366"/>
    </row>
    <row r="9276" spans="1:1" x14ac:dyDescent="0.2">
      <c r="A9276" s="366"/>
    </row>
    <row r="9277" spans="1:1" x14ac:dyDescent="0.2">
      <c r="A9277" s="366"/>
    </row>
    <row r="9278" spans="1:1" x14ac:dyDescent="0.2">
      <c r="A9278" s="366"/>
    </row>
    <row r="9279" spans="1:1" x14ac:dyDescent="0.2">
      <c r="A9279" s="366"/>
    </row>
    <row r="9280" spans="1:1" x14ac:dyDescent="0.2">
      <c r="A9280" s="366"/>
    </row>
    <row r="9281" spans="1:1" x14ac:dyDescent="0.2">
      <c r="A9281" s="366"/>
    </row>
    <row r="9282" spans="1:1" x14ac:dyDescent="0.2">
      <c r="A9282" s="366"/>
    </row>
    <row r="9283" spans="1:1" x14ac:dyDescent="0.2">
      <c r="A9283" s="366"/>
    </row>
    <row r="9284" spans="1:1" x14ac:dyDescent="0.2">
      <c r="A9284" s="366"/>
    </row>
    <row r="9285" spans="1:1" x14ac:dyDescent="0.2">
      <c r="A9285" s="366"/>
    </row>
    <row r="9286" spans="1:1" x14ac:dyDescent="0.2">
      <c r="A9286" s="366"/>
    </row>
    <row r="9287" spans="1:1" x14ac:dyDescent="0.2">
      <c r="A9287" s="366"/>
    </row>
    <row r="9288" spans="1:1" x14ac:dyDescent="0.2">
      <c r="A9288" s="366"/>
    </row>
    <row r="9289" spans="1:1" x14ac:dyDescent="0.2">
      <c r="A9289" s="366"/>
    </row>
    <row r="9290" spans="1:1" x14ac:dyDescent="0.2">
      <c r="A9290" s="366"/>
    </row>
    <row r="9291" spans="1:1" x14ac:dyDescent="0.2">
      <c r="A9291" s="366"/>
    </row>
    <row r="9292" spans="1:1" x14ac:dyDescent="0.2">
      <c r="A9292" s="366"/>
    </row>
    <row r="9293" spans="1:1" x14ac:dyDescent="0.2">
      <c r="A9293" s="366"/>
    </row>
    <row r="9294" spans="1:1" x14ac:dyDescent="0.2">
      <c r="A9294" s="366"/>
    </row>
    <row r="9295" spans="1:1" x14ac:dyDescent="0.2">
      <c r="A9295" s="366"/>
    </row>
    <row r="9296" spans="1:1" x14ac:dyDescent="0.2">
      <c r="A9296" s="366"/>
    </row>
    <row r="9297" spans="1:1" x14ac:dyDescent="0.2">
      <c r="A9297" s="366"/>
    </row>
    <row r="9298" spans="1:1" x14ac:dyDescent="0.2">
      <c r="A9298" s="366"/>
    </row>
    <row r="9299" spans="1:1" x14ac:dyDescent="0.2">
      <c r="A9299" s="366"/>
    </row>
    <row r="9300" spans="1:1" x14ac:dyDescent="0.2">
      <c r="A9300" s="366"/>
    </row>
    <row r="9301" spans="1:1" x14ac:dyDescent="0.2">
      <c r="A9301" s="366"/>
    </row>
    <row r="9302" spans="1:1" x14ac:dyDescent="0.2">
      <c r="A9302" s="366"/>
    </row>
    <row r="9303" spans="1:1" x14ac:dyDescent="0.2">
      <c r="A9303" s="366"/>
    </row>
    <row r="9304" spans="1:1" x14ac:dyDescent="0.2">
      <c r="A9304" s="366"/>
    </row>
    <row r="9305" spans="1:1" x14ac:dyDescent="0.2">
      <c r="A9305" s="366"/>
    </row>
    <row r="9306" spans="1:1" x14ac:dyDescent="0.2">
      <c r="A9306" s="366"/>
    </row>
    <row r="9307" spans="1:1" x14ac:dyDescent="0.2">
      <c r="A9307" s="366"/>
    </row>
    <row r="9308" spans="1:1" x14ac:dyDescent="0.2">
      <c r="A9308" s="366"/>
    </row>
    <row r="9309" spans="1:1" x14ac:dyDescent="0.2">
      <c r="A9309" s="366"/>
    </row>
    <row r="9310" spans="1:1" x14ac:dyDescent="0.2">
      <c r="A9310" s="366"/>
    </row>
    <row r="9311" spans="1:1" x14ac:dyDescent="0.2">
      <c r="A9311" s="366"/>
    </row>
    <row r="9312" spans="1:1" x14ac:dyDescent="0.2">
      <c r="A9312" s="366"/>
    </row>
    <row r="9313" spans="1:1" x14ac:dyDescent="0.2">
      <c r="A9313" s="366"/>
    </row>
    <row r="9314" spans="1:1" x14ac:dyDescent="0.2">
      <c r="A9314" s="366"/>
    </row>
    <row r="9315" spans="1:1" x14ac:dyDescent="0.2">
      <c r="A9315" s="366"/>
    </row>
    <row r="9316" spans="1:1" x14ac:dyDescent="0.2">
      <c r="A9316" s="366"/>
    </row>
    <row r="9317" spans="1:1" x14ac:dyDescent="0.2">
      <c r="A9317" s="366"/>
    </row>
    <row r="9318" spans="1:1" x14ac:dyDescent="0.2">
      <c r="A9318" s="366"/>
    </row>
    <row r="9319" spans="1:1" x14ac:dyDescent="0.2">
      <c r="A9319" s="366"/>
    </row>
    <row r="9320" spans="1:1" x14ac:dyDescent="0.2">
      <c r="A9320" s="366"/>
    </row>
    <row r="9321" spans="1:1" x14ac:dyDescent="0.2">
      <c r="A9321" s="366"/>
    </row>
    <row r="9322" spans="1:1" x14ac:dyDescent="0.2">
      <c r="A9322" s="366"/>
    </row>
    <row r="9323" spans="1:1" x14ac:dyDescent="0.2">
      <c r="A9323" s="366"/>
    </row>
    <row r="9324" spans="1:1" x14ac:dyDescent="0.2">
      <c r="A9324" s="366"/>
    </row>
    <row r="9325" spans="1:1" x14ac:dyDescent="0.2">
      <c r="A9325" s="366"/>
    </row>
    <row r="9326" spans="1:1" x14ac:dyDescent="0.2">
      <c r="A9326" s="366"/>
    </row>
    <row r="9327" spans="1:1" x14ac:dyDescent="0.2">
      <c r="A9327" s="366"/>
    </row>
    <row r="9328" spans="1:1" x14ac:dyDescent="0.2">
      <c r="A9328" s="366"/>
    </row>
    <row r="9329" spans="1:1" x14ac:dyDescent="0.2">
      <c r="A9329" s="366"/>
    </row>
    <row r="9330" spans="1:1" x14ac:dyDescent="0.2">
      <c r="A9330" s="366"/>
    </row>
    <row r="9331" spans="1:1" x14ac:dyDescent="0.2">
      <c r="A9331" s="366"/>
    </row>
    <row r="9332" spans="1:1" x14ac:dyDescent="0.2">
      <c r="A9332" s="366"/>
    </row>
    <row r="9333" spans="1:1" x14ac:dyDescent="0.2">
      <c r="A9333" s="366"/>
    </row>
    <row r="9334" spans="1:1" x14ac:dyDescent="0.2">
      <c r="A9334" s="366"/>
    </row>
    <row r="9335" spans="1:1" x14ac:dyDescent="0.2">
      <c r="A9335" s="366"/>
    </row>
    <row r="9336" spans="1:1" x14ac:dyDescent="0.2">
      <c r="A9336" s="366"/>
    </row>
    <row r="9337" spans="1:1" x14ac:dyDescent="0.2">
      <c r="A9337" s="366"/>
    </row>
    <row r="9338" spans="1:1" x14ac:dyDescent="0.2">
      <c r="A9338" s="366"/>
    </row>
    <row r="9339" spans="1:1" x14ac:dyDescent="0.2">
      <c r="A9339" s="366"/>
    </row>
    <row r="9340" spans="1:1" x14ac:dyDescent="0.2">
      <c r="A9340" s="366"/>
    </row>
    <row r="9341" spans="1:1" x14ac:dyDescent="0.2">
      <c r="A9341" s="366"/>
    </row>
    <row r="9342" spans="1:1" x14ac:dyDescent="0.2">
      <c r="A9342" s="366"/>
    </row>
    <row r="9343" spans="1:1" x14ac:dyDescent="0.2">
      <c r="A9343" s="366"/>
    </row>
    <row r="9344" spans="1:1" x14ac:dyDescent="0.2">
      <c r="A9344" s="366"/>
    </row>
    <row r="9345" spans="1:1" x14ac:dyDescent="0.2">
      <c r="A9345" s="366"/>
    </row>
    <row r="9346" spans="1:1" x14ac:dyDescent="0.2">
      <c r="A9346" s="366"/>
    </row>
    <row r="9347" spans="1:1" x14ac:dyDescent="0.2">
      <c r="A9347" s="366"/>
    </row>
    <row r="9348" spans="1:1" x14ac:dyDescent="0.2">
      <c r="A9348" s="366"/>
    </row>
    <row r="9349" spans="1:1" x14ac:dyDescent="0.2">
      <c r="A9349" s="366"/>
    </row>
    <row r="9350" spans="1:1" x14ac:dyDescent="0.2">
      <c r="A9350" s="366"/>
    </row>
    <row r="9351" spans="1:1" x14ac:dyDescent="0.2">
      <c r="A9351" s="366"/>
    </row>
    <row r="9352" spans="1:1" x14ac:dyDescent="0.2">
      <c r="A9352" s="366"/>
    </row>
    <row r="9353" spans="1:1" x14ac:dyDescent="0.2">
      <c r="A9353" s="366"/>
    </row>
    <row r="9354" spans="1:1" x14ac:dyDescent="0.2">
      <c r="A9354" s="366"/>
    </row>
    <row r="9355" spans="1:1" x14ac:dyDescent="0.2">
      <c r="A9355" s="366"/>
    </row>
    <row r="9356" spans="1:1" x14ac:dyDescent="0.2">
      <c r="A9356" s="366"/>
    </row>
    <row r="9357" spans="1:1" x14ac:dyDescent="0.2">
      <c r="A9357" s="366"/>
    </row>
    <row r="9358" spans="1:1" x14ac:dyDescent="0.2">
      <c r="A9358" s="366"/>
    </row>
    <row r="9359" spans="1:1" x14ac:dyDescent="0.2">
      <c r="A9359" s="366"/>
    </row>
    <row r="9360" spans="1:1" x14ac:dyDescent="0.2">
      <c r="A9360" s="366"/>
    </row>
    <row r="9361" spans="1:1" x14ac:dyDescent="0.2">
      <c r="A9361" s="366"/>
    </row>
    <row r="9362" spans="1:1" x14ac:dyDescent="0.2">
      <c r="A9362" s="366"/>
    </row>
    <row r="9363" spans="1:1" x14ac:dyDescent="0.2">
      <c r="A9363" s="366"/>
    </row>
    <row r="9364" spans="1:1" x14ac:dyDescent="0.2">
      <c r="A9364" s="366"/>
    </row>
    <row r="9365" spans="1:1" x14ac:dyDescent="0.2">
      <c r="A9365" s="366"/>
    </row>
    <row r="9366" spans="1:1" x14ac:dyDescent="0.2">
      <c r="A9366" s="366"/>
    </row>
    <row r="9367" spans="1:1" x14ac:dyDescent="0.2">
      <c r="A9367" s="366"/>
    </row>
    <row r="9368" spans="1:1" x14ac:dyDescent="0.2">
      <c r="A9368" s="366"/>
    </row>
    <row r="9369" spans="1:1" x14ac:dyDescent="0.2">
      <c r="A9369" s="366"/>
    </row>
    <row r="9370" spans="1:1" x14ac:dyDescent="0.2">
      <c r="A9370" s="366"/>
    </row>
    <row r="9371" spans="1:1" x14ac:dyDescent="0.2">
      <c r="A9371" s="366"/>
    </row>
    <row r="9372" spans="1:1" x14ac:dyDescent="0.2">
      <c r="A9372" s="366"/>
    </row>
    <row r="9373" spans="1:1" x14ac:dyDescent="0.2">
      <c r="A9373" s="366"/>
    </row>
    <row r="9374" spans="1:1" x14ac:dyDescent="0.2">
      <c r="A9374" s="366"/>
    </row>
    <row r="9375" spans="1:1" x14ac:dyDescent="0.2">
      <c r="A9375" s="366"/>
    </row>
    <row r="9376" spans="1:1" x14ac:dyDescent="0.2">
      <c r="A9376" s="366"/>
    </row>
    <row r="9377" spans="1:1" x14ac:dyDescent="0.2">
      <c r="A9377" s="366"/>
    </row>
    <row r="9378" spans="1:1" x14ac:dyDescent="0.2">
      <c r="A9378" s="366"/>
    </row>
    <row r="9379" spans="1:1" x14ac:dyDescent="0.2">
      <c r="A9379" s="366"/>
    </row>
    <row r="9380" spans="1:1" x14ac:dyDescent="0.2">
      <c r="A9380" s="366"/>
    </row>
    <row r="9381" spans="1:1" x14ac:dyDescent="0.2">
      <c r="A9381" s="366"/>
    </row>
    <row r="9382" spans="1:1" x14ac:dyDescent="0.2">
      <c r="A9382" s="366"/>
    </row>
    <row r="9383" spans="1:1" x14ac:dyDescent="0.2">
      <c r="A9383" s="366"/>
    </row>
    <row r="9384" spans="1:1" x14ac:dyDescent="0.2">
      <c r="A9384" s="366"/>
    </row>
    <row r="9385" spans="1:1" x14ac:dyDescent="0.2">
      <c r="A9385" s="366"/>
    </row>
    <row r="9386" spans="1:1" x14ac:dyDescent="0.2">
      <c r="A9386" s="366"/>
    </row>
    <row r="9387" spans="1:1" x14ac:dyDescent="0.2">
      <c r="A9387" s="366"/>
    </row>
    <row r="9388" spans="1:1" x14ac:dyDescent="0.2">
      <c r="A9388" s="366"/>
    </row>
    <row r="9389" spans="1:1" x14ac:dyDescent="0.2">
      <c r="A9389" s="366"/>
    </row>
    <row r="9390" spans="1:1" x14ac:dyDescent="0.2">
      <c r="A9390" s="366"/>
    </row>
    <row r="9391" spans="1:1" x14ac:dyDescent="0.2">
      <c r="A9391" s="366"/>
    </row>
    <row r="9392" spans="1:1" x14ac:dyDescent="0.2">
      <c r="A9392" s="366"/>
    </row>
    <row r="9393" spans="1:1" x14ac:dyDescent="0.2">
      <c r="A9393" s="366"/>
    </row>
    <row r="9394" spans="1:1" x14ac:dyDescent="0.2">
      <c r="A9394" s="366"/>
    </row>
    <row r="9395" spans="1:1" x14ac:dyDescent="0.2">
      <c r="A9395" s="366"/>
    </row>
    <row r="9396" spans="1:1" x14ac:dyDescent="0.2">
      <c r="A9396" s="366"/>
    </row>
    <row r="9397" spans="1:1" x14ac:dyDescent="0.2">
      <c r="A9397" s="366"/>
    </row>
    <row r="9398" spans="1:1" x14ac:dyDescent="0.2">
      <c r="A9398" s="366"/>
    </row>
    <row r="9399" spans="1:1" x14ac:dyDescent="0.2">
      <c r="A9399" s="366"/>
    </row>
    <row r="9400" spans="1:1" x14ac:dyDescent="0.2">
      <c r="A9400" s="366"/>
    </row>
    <row r="9401" spans="1:1" x14ac:dyDescent="0.2">
      <c r="A9401" s="366"/>
    </row>
    <row r="9402" spans="1:1" x14ac:dyDescent="0.2">
      <c r="A9402" s="366"/>
    </row>
    <row r="9403" spans="1:1" x14ac:dyDescent="0.2">
      <c r="A9403" s="366"/>
    </row>
    <row r="9404" spans="1:1" x14ac:dyDescent="0.2">
      <c r="A9404" s="366"/>
    </row>
    <row r="9405" spans="1:1" x14ac:dyDescent="0.2">
      <c r="A9405" s="366"/>
    </row>
    <row r="9406" spans="1:1" x14ac:dyDescent="0.2">
      <c r="A9406" s="366"/>
    </row>
    <row r="9407" spans="1:1" x14ac:dyDescent="0.2">
      <c r="A9407" s="366"/>
    </row>
    <row r="9408" spans="1:1" x14ac:dyDescent="0.2">
      <c r="A9408" s="366"/>
    </row>
    <row r="9409" spans="1:1" x14ac:dyDescent="0.2">
      <c r="A9409" s="366"/>
    </row>
    <row r="9410" spans="1:1" x14ac:dyDescent="0.2">
      <c r="A9410" s="366"/>
    </row>
    <row r="9411" spans="1:1" x14ac:dyDescent="0.2">
      <c r="A9411" s="366"/>
    </row>
    <row r="9412" spans="1:1" x14ac:dyDescent="0.2">
      <c r="A9412" s="366"/>
    </row>
    <row r="9413" spans="1:1" x14ac:dyDescent="0.2">
      <c r="A9413" s="366"/>
    </row>
    <row r="9414" spans="1:1" x14ac:dyDescent="0.2">
      <c r="A9414" s="366"/>
    </row>
    <row r="9415" spans="1:1" x14ac:dyDescent="0.2">
      <c r="A9415" s="366"/>
    </row>
    <row r="9416" spans="1:1" x14ac:dyDescent="0.2">
      <c r="A9416" s="366"/>
    </row>
    <row r="9417" spans="1:1" x14ac:dyDescent="0.2">
      <c r="A9417" s="366"/>
    </row>
    <row r="9418" spans="1:1" x14ac:dyDescent="0.2">
      <c r="A9418" s="366"/>
    </row>
    <row r="9419" spans="1:1" x14ac:dyDescent="0.2">
      <c r="A9419" s="366"/>
    </row>
    <row r="9420" spans="1:1" x14ac:dyDescent="0.2">
      <c r="A9420" s="366"/>
    </row>
    <row r="9421" spans="1:1" x14ac:dyDescent="0.2">
      <c r="A9421" s="366"/>
    </row>
    <row r="9422" spans="1:1" x14ac:dyDescent="0.2">
      <c r="A9422" s="366"/>
    </row>
    <row r="9423" spans="1:1" x14ac:dyDescent="0.2">
      <c r="A9423" s="366"/>
    </row>
    <row r="9424" spans="1:1" x14ac:dyDescent="0.2">
      <c r="A9424" s="366"/>
    </row>
    <row r="9425" spans="1:1" x14ac:dyDescent="0.2">
      <c r="A9425" s="366"/>
    </row>
    <row r="9426" spans="1:1" x14ac:dyDescent="0.2">
      <c r="A9426" s="366"/>
    </row>
    <row r="9427" spans="1:1" x14ac:dyDescent="0.2">
      <c r="A9427" s="366"/>
    </row>
    <row r="9428" spans="1:1" x14ac:dyDescent="0.2">
      <c r="A9428" s="366"/>
    </row>
    <row r="9429" spans="1:1" x14ac:dyDescent="0.2">
      <c r="A9429" s="366"/>
    </row>
    <row r="9430" spans="1:1" x14ac:dyDescent="0.2">
      <c r="A9430" s="366"/>
    </row>
    <row r="9431" spans="1:1" x14ac:dyDescent="0.2">
      <c r="A9431" s="366"/>
    </row>
    <row r="9432" spans="1:1" x14ac:dyDescent="0.2">
      <c r="A9432" s="366"/>
    </row>
    <row r="9433" spans="1:1" x14ac:dyDescent="0.2">
      <c r="A9433" s="366"/>
    </row>
    <row r="9434" spans="1:1" x14ac:dyDescent="0.2">
      <c r="A9434" s="366"/>
    </row>
    <row r="9435" spans="1:1" x14ac:dyDescent="0.2">
      <c r="A9435" s="366"/>
    </row>
    <row r="9436" spans="1:1" x14ac:dyDescent="0.2">
      <c r="A9436" s="366"/>
    </row>
    <row r="9437" spans="1:1" x14ac:dyDescent="0.2">
      <c r="A9437" s="366"/>
    </row>
    <row r="9438" spans="1:1" x14ac:dyDescent="0.2">
      <c r="A9438" s="366"/>
    </row>
    <row r="9439" spans="1:1" x14ac:dyDescent="0.2">
      <c r="A9439" s="366"/>
    </row>
    <row r="9440" spans="1:1" x14ac:dyDescent="0.2">
      <c r="A9440" s="366"/>
    </row>
    <row r="9441" spans="1:1" x14ac:dyDescent="0.2">
      <c r="A9441" s="366"/>
    </row>
    <row r="9442" spans="1:1" x14ac:dyDescent="0.2">
      <c r="A9442" s="366"/>
    </row>
    <row r="9443" spans="1:1" x14ac:dyDescent="0.2">
      <c r="A9443" s="366"/>
    </row>
    <row r="9444" spans="1:1" x14ac:dyDescent="0.2">
      <c r="A9444" s="366"/>
    </row>
    <row r="9445" spans="1:1" x14ac:dyDescent="0.2">
      <c r="A9445" s="366"/>
    </row>
    <row r="9446" spans="1:1" x14ac:dyDescent="0.2">
      <c r="A9446" s="366"/>
    </row>
    <row r="9447" spans="1:1" x14ac:dyDescent="0.2">
      <c r="A9447" s="366"/>
    </row>
    <row r="9448" spans="1:1" x14ac:dyDescent="0.2">
      <c r="A9448" s="366"/>
    </row>
    <row r="9449" spans="1:1" x14ac:dyDescent="0.2">
      <c r="A9449" s="366"/>
    </row>
    <row r="9450" spans="1:1" x14ac:dyDescent="0.2">
      <c r="A9450" s="366"/>
    </row>
    <row r="9451" spans="1:1" x14ac:dyDescent="0.2">
      <c r="A9451" s="366"/>
    </row>
    <row r="9452" spans="1:1" x14ac:dyDescent="0.2">
      <c r="A9452" s="366"/>
    </row>
    <row r="9453" spans="1:1" x14ac:dyDescent="0.2">
      <c r="A9453" s="366"/>
    </row>
    <row r="9454" spans="1:1" x14ac:dyDescent="0.2">
      <c r="A9454" s="366"/>
    </row>
    <row r="9455" spans="1:1" x14ac:dyDescent="0.2">
      <c r="A9455" s="366"/>
    </row>
    <row r="9456" spans="1:1" x14ac:dyDescent="0.2">
      <c r="A9456" s="366"/>
    </row>
    <row r="9457" spans="1:1" x14ac:dyDescent="0.2">
      <c r="A9457" s="366"/>
    </row>
    <row r="9458" spans="1:1" x14ac:dyDescent="0.2">
      <c r="A9458" s="366"/>
    </row>
    <row r="9459" spans="1:1" x14ac:dyDescent="0.2">
      <c r="A9459" s="366"/>
    </row>
    <row r="9460" spans="1:1" x14ac:dyDescent="0.2">
      <c r="A9460" s="366"/>
    </row>
    <row r="9461" spans="1:1" x14ac:dyDescent="0.2">
      <c r="A9461" s="366"/>
    </row>
    <row r="9462" spans="1:1" x14ac:dyDescent="0.2">
      <c r="A9462" s="366"/>
    </row>
    <row r="9463" spans="1:1" x14ac:dyDescent="0.2">
      <c r="A9463" s="366"/>
    </row>
    <row r="9464" spans="1:1" x14ac:dyDescent="0.2">
      <c r="A9464" s="366"/>
    </row>
    <row r="9465" spans="1:1" x14ac:dyDescent="0.2">
      <c r="A9465" s="366"/>
    </row>
    <row r="9466" spans="1:1" x14ac:dyDescent="0.2">
      <c r="A9466" s="366"/>
    </row>
    <row r="9467" spans="1:1" x14ac:dyDescent="0.2">
      <c r="A9467" s="366"/>
    </row>
    <row r="9468" spans="1:1" x14ac:dyDescent="0.2">
      <c r="A9468" s="366"/>
    </row>
    <row r="9469" spans="1:1" x14ac:dyDescent="0.2">
      <c r="A9469" s="366"/>
    </row>
    <row r="9470" spans="1:1" x14ac:dyDescent="0.2">
      <c r="A9470" s="366"/>
    </row>
    <row r="9471" spans="1:1" x14ac:dyDescent="0.2">
      <c r="A9471" s="366"/>
    </row>
    <row r="9472" spans="1:1" x14ac:dyDescent="0.2">
      <c r="A9472" s="366"/>
    </row>
    <row r="9473" spans="1:1" x14ac:dyDescent="0.2">
      <c r="A9473" s="366"/>
    </row>
    <row r="9474" spans="1:1" x14ac:dyDescent="0.2">
      <c r="A9474" s="366"/>
    </row>
    <row r="9475" spans="1:1" x14ac:dyDescent="0.2">
      <c r="A9475" s="366"/>
    </row>
    <row r="9476" spans="1:1" x14ac:dyDescent="0.2">
      <c r="A9476" s="366"/>
    </row>
    <row r="9477" spans="1:1" x14ac:dyDescent="0.2">
      <c r="A9477" s="366"/>
    </row>
    <row r="9478" spans="1:1" x14ac:dyDescent="0.2">
      <c r="A9478" s="366"/>
    </row>
    <row r="9479" spans="1:1" x14ac:dyDescent="0.2">
      <c r="A9479" s="366"/>
    </row>
    <row r="9480" spans="1:1" x14ac:dyDescent="0.2">
      <c r="A9480" s="366"/>
    </row>
    <row r="9481" spans="1:1" x14ac:dyDescent="0.2">
      <c r="A9481" s="366"/>
    </row>
    <row r="9482" spans="1:1" x14ac:dyDescent="0.2">
      <c r="A9482" s="366"/>
    </row>
    <row r="9483" spans="1:1" x14ac:dyDescent="0.2">
      <c r="A9483" s="366"/>
    </row>
    <row r="9484" spans="1:1" x14ac:dyDescent="0.2">
      <c r="A9484" s="366"/>
    </row>
    <row r="9485" spans="1:1" x14ac:dyDescent="0.2">
      <c r="A9485" s="366"/>
    </row>
    <row r="9486" spans="1:1" x14ac:dyDescent="0.2">
      <c r="A9486" s="366"/>
    </row>
    <row r="9487" spans="1:1" x14ac:dyDescent="0.2">
      <c r="A9487" s="366"/>
    </row>
    <row r="9488" spans="1:1" x14ac:dyDescent="0.2">
      <c r="A9488" s="366"/>
    </row>
    <row r="9489" spans="1:1" x14ac:dyDescent="0.2">
      <c r="A9489" s="366"/>
    </row>
    <row r="9490" spans="1:1" x14ac:dyDescent="0.2">
      <c r="A9490" s="366"/>
    </row>
    <row r="9491" spans="1:1" x14ac:dyDescent="0.2">
      <c r="A9491" s="366"/>
    </row>
    <row r="9492" spans="1:1" x14ac:dyDescent="0.2">
      <c r="A9492" s="366"/>
    </row>
    <row r="9493" spans="1:1" x14ac:dyDescent="0.2">
      <c r="A9493" s="366"/>
    </row>
    <row r="9494" spans="1:1" x14ac:dyDescent="0.2">
      <c r="A9494" s="366"/>
    </row>
    <row r="9495" spans="1:1" x14ac:dyDescent="0.2">
      <c r="A9495" s="366"/>
    </row>
    <row r="9496" spans="1:1" x14ac:dyDescent="0.2">
      <c r="A9496" s="366"/>
    </row>
    <row r="9497" spans="1:1" x14ac:dyDescent="0.2">
      <c r="A9497" s="366"/>
    </row>
    <row r="9498" spans="1:1" x14ac:dyDescent="0.2">
      <c r="A9498" s="366"/>
    </row>
    <row r="9499" spans="1:1" x14ac:dyDescent="0.2">
      <c r="A9499" s="366"/>
    </row>
    <row r="9500" spans="1:1" x14ac:dyDescent="0.2">
      <c r="A9500" s="366"/>
    </row>
    <row r="9501" spans="1:1" x14ac:dyDescent="0.2">
      <c r="A9501" s="366"/>
    </row>
    <row r="9502" spans="1:1" x14ac:dyDescent="0.2">
      <c r="A9502" s="366"/>
    </row>
    <row r="9503" spans="1:1" x14ac:dyDescent="0.2">
      <c r="A9503" s="366"/>
    </row>
    <row r="9504" spans="1:1" x14ac:dyDescent="0.2">
      <c r="A9504" s="366"/>
    </row>
    <row r="9505" spans="1:1" x14ac:dyDescent="0.2">
      <c r="A9505" s="366"/>
    </row>
    <row r="9506" spans="1:1" x14ac:dyDescent="0.2">
      <c r="A9506" s="366"/>
    </row>
    <row r="9507" spans="1:1" x14ac:dyDescent="0.2">
      <c r="A9507" s="366"/>
    </row>
    <row r="9508" spans="1:1" x14ac:dyDescent="0.2">
      <c r="A9508" s="366"/>
    </row>
    <row r="9509" spans="1:1" x14ac:dyDescent="0.2">
      <c r="A9509" s="366"/>
    </row>
    <row r="9510" spans="1:1" x14ac:dyDescent="0.2">
      <c r="A9510" s="366"/>
    </row>
    <row r="9511" spans="1:1" x14ac:dyDescent="0.2">
      <c r="A9511" s="366"/>
    </row>
    <row r="9512" spans="1:1" x14ac:dyDescent="0.2">
      <c r="A9512" s="366"/>
    </row>
    <row r="9513" spans="1:1" x14ac:dyDescent="0.2">
      <c r="A9513" s="366"/>
    </row>
    <row r="9514" spans="1:1" x14ac:dyDescent="0.2">
      <c r="A9514" s="366"/>
    </row>
    <row r="9515" spans="1:1" x14ac:dyDescent="0.2">
      <c r="A9515" s="366"/>
    </row>
    <row r="9516" spans="1:1" x14ac:dyDescent="0.2">
      <c r="A9516" s="366"/>
    </row>
    <row r="9517" spans="1:1" x14ac:dyDescent="0.2">
      <c r="A9517" s="366"/>
    </row>
    <row r="9518" spans="1:1" x14ac:dyDescent="0.2">
      <c r="A9518" s="366"/>
    </row>
    <row r="9519" spans="1:1" x14ac:dyDescent="0.2">
      <c r="A9519" s="366"/>
    </row>
    <row r="9520" spans="1:1" x14ac:dyDescent="0.2">
      <c r="A9520" s="366"/>
    </row>
    <row r="9521" spans="1:1" x14ac:dyDescent="0.2">
      <c r="A9521" s="366"/>
    </row>
    <row r="9522" spans="1:1" x14ac:dyDescent="0.2">
      <c r="A9522" s="366"/>
    </row>
    <row r="9523" spans="1:1" x14ac:dyDescent="0.2">
      <c r="A9523" s="366"/>
    </row>
    <row r="9524" spans="1:1" x14ac:dyDescent="0.2">
      <c r="A9524" s="366"/>
    </row>
    <row r="9525" spans="1:1" x14ac:dyDescent="0.2">
      <c r="A9525" s="366"/>
    </row>
    <row r="9526" spans="1:1" x14ac:dyDescent="0.2">
      <c r="A9526" s="366"/>
    </row>
    <row r="9527" spans="1:1" x14ac:dyDescent="0.2">
      <c r="A9527" s="366"/>
    </row>
    <row r="9528" spans="1:1" x14ac:dyDescent="0.2">
      <c r="A9528" s="366"/>
    </row>
    <row r="9529" spans="1:1" x14ac:dyDescent="0.2">
      <c r="A9529" s="366"/>
    </row>
    <row r="9530" spans="1:1" x14ac:dyDescent="0.2">
      <c r="A9530" s="366"/>
    </row>
    <row r="9531" spans="1:1" x14ac:dyDescent="0.2">
      <c r="A9531" s="366"/>
    </row>
    <row r="9532" spans="1:1" x14ac:dyDescent="0.2">
      <c r="A9532" s="366"/>
    </row>
    <row r="9533" spans="1:1" x14ac:dyDescent="0.2">
      <c r="A9533" s="366"/>
    </row>
    <row r="9534" spans="1:1" x14ac:dyDescent="0.2">
      <c r="A9534" s="366"/>
    </row>
    <row r="9535" spans="1:1" x14ac:dyDescent="0.2">
      <c r="A9535" s="366"/>
    </row>
    <row r="9536" spans="1:1" x14ac:dyDescent="0.2">
      <c r="A9536" s="366"/>
    </row>
    <row r="9537" spans="1:1" x14ac:dyDescent="0.2">
      <c r="A9537" s="366"/>
    </row>
    <row r="9538" spans="1:1" x14ac:dyDescent="0.2">
      <c r="A9538" s="366"/>
    </row>
    <row r="9539" spans="1:1" x14ac:dyDescent="0.2">
      <c r="A9539" s="366"/>
    </row>
    <row r="9540" spans="1:1" x14ac:dyDescent="0.2">
      <c r="A9540" s="366"/>
    </row>
    <row r="9541" spans="1:1" x14ac:dyDescent="0.2">
      <c r="A9541" s="366"/>
    </row>
    <row r="9542" spans="1:1" x14ac:dyDescent="0.2">
      <c r="A9542" s="366"/>
    </row>
    <row r="9543" spans="1:1" x14ac:dyDescent="0.2">
      <c r="A9543" s="366"/>
    </row>
    <row r="9544" spans="1:1" x14ac:dyDescent="0.2">
      <c r="A9544" s="366"/>
    </row>
    <row r="9545" spans="1:1" x14ac:dyDescent="0.2">
      <c r="A9545" s="366"/>
    </row>
    <row r="9546" spans="1:1" x14ac:dyDescent="0.2">
      <c r="A9546" s="366"/>
    </row>
    <row r="9547" spans="1:1" x14ac:dyDescent="0.2">
      <c r="A9547" s="366"/>
    </row>
    <row r="9548" spans="1:1" x14ac:dyDescent="0.2">
      <c r="A9548" s="366"/>
    </row>
    <row r="9549" spans="1:1" x14ac:dyDescent="0.2">
      <c r="A9549" s="366"/>
    </row>
    <row r="9550" spans="1:1" x14ac:dyDescent="0.2">
      <c r="A9550" s="366"/>
    </row>
    <row r="9551" spans="1:1" x14ac:dyDescent="0.2">
      <c r="A9551" s="366"/>
    </row>
    <row r="9552" spans="1:1" x14ac:dyDescent="0.2">
      <c r="A9552" s="366"/>
    </row>
    <row r="9553" spans="1:1" x14ac:dyDescent="0.2">
      <c r="A9553" s="366"/>
    </row>
    <row r="9554" spans="1:1" x14ac:dyDescent="0.2">
      <c r="A9554" s="366"/>
    </row>
    <row r="9555" spans="1:1" x14ac:dyDescent="0.2">
      <c r="A9555" s="366"/>
    </row>
    <row r="9556" spans="1:1" x14ac:dyDescent="0.2">
      <c r="A9556" s="366"/>
    </row>
    <row r="9557" spans="1:1" x14ac:dyDescent="0.2">
      <c r="A9557" s="366"/>
    </row>
    <row r="9558" spans="1:1" x14ac:dyDescent="0.2">
      <c r="A9558" s="366"/>
    </row>
    <row r="9559" spans="1:1" x14ac:dyDescent="0.2">
      <c r="A9559" s="366"/>
    </row>
    <row r="9560" spans="1:1" x14ac:dyDescent="0.2">
      <c r="A9560" s="366"/>
    </row>
    <row r="9561" spans="1:1" x14ac:dyDescent="0.2">
      <c r="A9561" s="366"/>
    </row>
    <row r="9562" spans="1:1" x14ac:dyDescent="0.2">
      <c r="A9562" s="366"/>
    </row>
    <row r="9563" spans="1:1" x14ac:dyDescent="0.2">
      <c r="A9563" s="366"/>
    </row>
    <row r="9564" spans="1:1" x14ac:dyDescent="0.2">
      <c r="A9564" s="366"/>
    </row>
    <row r="9565" spans="1:1" x14ac:dyDescent="0.2">
      <c r="A9565" s="366"/>
    </row>
    <row r="9566" spans="1:1" x14ac:dyDescent="0.2">
      <c r="A9566" s="366"/>
    </row>
    <row r="9567" spans="1:1" x14ac:dyDescent="0.2">
      <c r="A9567" s="366"/>
    </row>
    <row r="9568" spans="1:1" x14ac:dyDescent="0.2">
      <c r="A9568" s="366"/>
    </row>
    <row r="9569" spans="1:1" x14ac:dyDescent="0.2">
      <c r="A9569" s="366"/>
    </row>
    <row r="9570" spans="1:1" x14ac:dyDescent="0.2">
      <c r="A9570" s="366"/>
    </row>
    <row r="9571" spans="1:1" x14ac:dyDescent="0.2">
      <c r="A9571" s="366"/>
    </row>
    <row r="9572" spans="1:1" x14ac:dyDescent="0.2">
      <c r="A9572" s="366"/>
    </row>
    <row r="9573" spans="1:1" x14ac:dyDescent="0.2">
      <c r="A9573" s="366"/>
    </row>
    <row r="9574" spans="1:1" x14ac:dyDescent="0.2">
      <c r="A9574" s="366"/>
    </row>
    <row r="9575" spans="1:1" x14ac:dyDescent="0.2">
      <c r="A9575" s="366"/>
    </row>
    <row r="9576" spans="1:1" x14ac:dyDescent="0.2">
      <c r="A9576" s="366"/>
    </row>
    <row r="9577" spans="1:1" x14ac:dyDescent="0.2">
      <c r="A9577" s="366"/>
    </row>
    <row r="9578" spans="1:1" x14ac:dyDescent="0.2">
      <c r="A9578" s="366"/>
    </row>
    <row r="9579" spans="1:1" x14ac:dyDescent="0.2">
      <c r="A9579" s="366"/>
    </row>
    <row r="9580" spans="1:1" x14ac:dyDescent="0.2">
      <c r="A9580" s="366"/>
    </row>
    <row r="9581" spans="1:1" x14ac:dyDescent="0.2">
      <c r="A9581" s="366"/>
    </row>
    <row r="9582" spans="1:1" x14ac:dyDescent="0.2">
      <c r="A9582" s="366"/>
    </row>
    <row r="9583" spans="1:1" x14ac:dyDescent="0.2">
      <c r="A9583" s="366"/>
    </row>
    <row r="9584" spans="1:1" x14ac:dyDescent="0.2">
      <c r="A9584" s="366"/>
    </row>
    <row r="9585" spans="1:1" x14ac:dyDescent="0.2">
      <c r="A9585" s="366"/>
    </row>
    <row r="9586" spans="1:1" x14ac:dyDescent="0.2">
      <c r="A9586" s="366"/>
    </row>
    <row r="9587" spans="1:1" x14ac:dyDescent="0.2">
      <c r="A9587" s="366"/>
    </row>
    <row r="9588" spans="1:1" x14ac:dyDescent="0.2">
      <c r="A9588" s="366"/>
    </row>
    <row r="9589" spans="1:1" x14ac:dyDescent="0.2">
      <c r="A9589" s="366"/>
    </row>
    <row r="9590" spans="1:1" x14ac:dyDescent="0.2">
      <c r="A9590" s="366"/>
    </row>
    <row r="9591" spans="1:1" x14ac:dyDescent="0.2">
      <c r="A9591" s="366"/>
    </row>
    <row r="9592" spans="1:1" x14ac:dyDescent="0.2">
      <c r="A9592" s="366"/>
    </row>
    <row r="9593" spans="1:1" x14ac:dyDescent="0.2">
      <c r="A9593" s="366"/>
    </row>
    <row r="9594" spans="1:1" x14ac:dyDescent="0.2">
      <c r="A9594" s="366"/>
    </row>
    <row r="9595" spans="1:1" x14ac:dyDescent="0.2">
      <c r="A9595" s="366"/>
    </row>
    <row r="9596" spans="1:1" x14ac:dyDescent="0.2">
      <c r="A9596" s="366"/>
    </row>
    <row r="9597" spans="1:1" x14ac:dyDescent="0.2">
      <c r="A9597" s="366"/>
    </row>
    <row r="9598" spans="1:1" x14ac:dyDescent="0.2">
      <c r="A9598" s="366"/>
    </row>
    <row r="9599" spans="1:1" x14ac:dyDescent="0.2">
      <c r="A9599" s="366"/>
    </row>
    <row r="9600" spans="1:1" x14ac:dyDescent="0.2">
      <c r="A9600" s="366"/>
    </row>
    <row r="9601" spans="1:1" x14ac:dyDescent="0.2">
      <c r="A9601" s="366"/>
    </row>
    <row r="9602" spans="1:1" x14ac:dyDescent="0.2">
      <c r="A9602" s="366"/>
    </row>
    <row r="9603" spans="1:1" x14ac:dyDescent="0.2">
      <c r="A9603" s="366"/>
    </row>
    <row r="9604" spans="1:1" x14ac:dyDescent="0.2">
      <c r="A9604" s="366"/>
    </row>
    <row r="9605" spans="1:1" x14ac:dyDescent="0.2">
      <c r="A9605" s="366"/>
    </row>
    <row r="9606" spans="1:1" x14ac:dyDescent="0.2">
      <c r="A9606" s="366"/>
    </row>
    <row r="9607" spans="1:1" x14ac:dyDescent="0.2">
      <c r="A9607" s="366"/>
    </row>
    <row r="9608" spans="1:1" x14ac:dyDescent="0.2">
      <c r="A9608" s="366"/>
    </row>
    <row r="9609" spans="1:1" x14ac:dyDescent="0.2">
      <c r="A9609" s="366"/>
    </row>
    <row r="9610" spans="1:1" x14ac:dyDescent="0.2">
      <c r="A9610" s="366"/>
    </row>
    <row r="9611" spans="1:1" x14ac:dyDescent="0.2">
      <c r="A9611" s="366"/>
    </row>
    <row r="9612" spans="1:1" x14ac:dyDescent="0.2">
      <c r="A9612" s="366"/>
    </row>
    <row r="9613" spans="1:1" x14ac:dyDescent="0.2">
      <c r="A9613" s="366"/>
    </row>
    <row r="9614" spans="1:1" x14ac:dyDescent="0.2">
      <c r="A9614" s="366"/>
    </row>
    <row r="9615" spans="1:1" x14ac:dyDescent="0.2">
      <c r="A9615" s="366"/>
    </row>
    <row r="9616" spans="1:1" x14ac:dyDescent="0.2">
      <c r="A9616" s="366"/>
    </row>
    <row r="9617" spans="1:1" x14ac:dyDescent="0.2">
      <c r="A9617" s="366"/>
    </row>
    <row r="9618" spans="1:1" x14ac:dyDescent="0.2">
      <c r="A9618" s="366"/>
    </row>
    <row r="9619" spans="1:1" x14ac:dyDescent="0.2">
      <c r="A9619" s="366"/>
    </row>
    <row r="9620" spans="1:1" x14ac:dyDescent="0.2">
      <c r="A9620" s="366"/>
    </row>
    <row r="9621" spans="1:1" x14ac:dyDescent="0.2">
      <c r="A9621" s="366"/>
    </row>
    <row r="9622" spans="1:1" x14ac:dyDescent="0.2">
      <c r="A9622" s="366"/>
    </row>
    <row r="9623" spans="1:1" x14ac:dyDescent="0.2">
      <c r="A9623" s="366"/>
    </row>
    <row r="9624" spans="1:1" x14ac:dyDescent="0.2">
      <c r="A9624" s="366"/>
    </row>
    <row r="9625" spans="1:1" x14ac:dyDescent="0.2">
      <c r="A9625" s="366"/>
    </row>
    <row r="9626" spans="1:1" x14ac:dyDescent="0.2">
      <c r="A9626" s="366"/>
    </row>
    <row r="9627" spans="1:1" x14ac:dyDescent="0.2">
      <c r="A9627" s="366"/>
    </row>
    <row r="9628" spans="1:1" x14ac:dyDescent="0.2">
      <c r="A9628" s="366"/>
    </row>
    <row r="9629" spans="1:1" x14ac:dyDescent="0.2">
      <c r="A9629" s="366"/>
    </row>
    <row r="9630" spans="1:1" x14ac:dyDescent="0.2">
      <c r="A9630" s="366"/>
    </row>
    <row r="9631" spans="1:1" x14ac:dyDescent="0.2">
      <c r="A9631" s="366"/>
    </row>
    <row r="9632" spans="1:1" x14ac:dyDescent="0.2">
      <c r="A9632" s="366"/>
    </row>
    <row r="9633" spans="1:1" x14ac:dyDescent="0.2">
      <c r="A9633" s="366"/>
    </row>
    <row r="9634" spans="1:1" x14ac:dyDescent="0.2">
      <c r="A9634" s="366"/>
    </row>
    <row r="9635" spans="1:1" x14ac:dyDescent="0.2">
      <c r="A9635" s="366"/>
    </row>
    <row r="9636" spans="1:1" x14ac:dyDescent="0.2">
      <c r="A9636" s="366"/>
    </row>
    <row r="9637" spans="1:1" x14ac:dyDescent="0.2">
      <c r="A9637" s="366"/>
    </row>
    <row r="9638" spans="1:1" x14ac:dyDescent="0.2">
      <c r="A9638" s="366"/>
    </row>
    <row r="9639" spans="1:1" x14ac:dyDescent="0.2">
      <c r="A9639" s="366"/>
    </row>
    <row r="9640" spans="1:1" x14ac:dyDescent="0.2">
      <c r="A9640" s="366"/>
    </row>
    <row r="9641" spans="1:1" x14ac:dyDescent="0.2">
      <c r="A9641" s="366"/>
    </row>
    <row r="9642" spans="1:1" x14ac:dyDescent="0.2">
      <c r="A9642" s="366"/>
    </row>
    <row r="9643" spans="1:1" x14ac:dyDescent="0.2">
      <c r="A9643" s="366"/>
    </row>
    <row r="9644" spans="1:1" x14ac:dyDescent="0.2">
      <c r="A9644" s="366"/>
    </row>
    <row r="9645" spans="1:1" x14ac:dyDescent="0.2">
      <c r="A9645" s="366"/>
    </row>
    <row r="9646" spans="1:1" x14ac:dyDescent="0.2">
      <c r="A9646" s="366"/>
    </row>
    <row r="9647" spans="1:1" x14ac:dyDescent="0.2">
      <c r="A9647" s="366"/>
    </row>
    <row r="9648" spans="1:1" x14ac:dyDescent="0.2">
      <c r="A9648" s="366"/>
    </row>
    <row r="9649" spans="1:1" x14ac:dyDescent="0.2">
      <c r="A9649" s="366"/>
    </row>
    <row r="9650" spans="1:1" x14ac:dyDescent="0.2">
      <c r="A9650" s="366"/>
    </row>
    <row r="9651" spans="1:1" x14ac:dyDescent="0.2">
      <c r="A9651" s="366"/>
    </row>
    <row r="9652" spans="1:1" x14ac:dyDescent="0.2">
      <c r="A9652" s="366"/>
    </row>
    <row r="9653" spans="1:1" x14ac:dyDescent="0.2">
      <c r="A9653" s="366"/>
    </row>
    <row r="9654" spans="1:1" x14ac:dyDescent="0.2">
      <c r="A9654" s="366"/>
    </row>
    <row r="9655" spans="1:1" x14ac:dyDescent="0.2">
      <c r="A9655" s="366"/>
    </row>
    <row r="9656" spans="1:1" x14ac:dyDescent="0.2">
      <c r="A9656" s="366"/>
    </row>
    <row r="9657" spans="1:1" x14ac:dyDescent="0.2">
      <c r="A9657" s="366"/>
    </row>
    <row r="9658" spans="1:1" x14ac:dyDescent="0.2">
      <c r="A9658" s="366"/>
    </row>
    <row r="9659" spans="1:1" x14ac:dyDescent="0.2">
      <c r="A9659" s="366"/>
    </row>
    <row r="9660" spans="1:1" x14ac:dyDescent="0.2">
      <c r="A9660" s="366"/>
    </row>
    <row r="9661" spans="1:1" x14ac:dyDescent="0.2">
      <c r="A9661" s="366"/>
    </row>
    <row r="9662" spans="1:1" x14ac:dyDescent="0.2">
      <c r="A9662" s="366"/>
    </row>
    <row r="9663" spans="1:1" x14ac:dyDescent="0.2">
      <c r="A9663" s="366"/>
    </row>
    <row r="9664" spans="1:1" x14ac:dyDescent="0.2">
      <c r="A9664" s="366"/>
    </row>
    <row r="9665" spans="1:1" x14ac:dyDescent="0.2">
      <c r="A9665" s="366"/>
    </row>
    <row r="9666" spans="1:1" x14ac:dyDescent="0.2">
      <c r="A9666" s="366"/>
    </row>
    <row r="9667" spans="1:1" x14ac:dyDescent="0.2">
      <c r="A9667" s="366"/>
    </row>
    <row r="9668" spans="1:1" x14ac:dyDescent="0.2">
      <c r="A9668" s="366"/>
    </row>
    <row r="9669" spans="1:1" x14ac:dyDescent="0.2">
      <c r="A9669" s="366"/>
    </row>
    <row r="9670" spans="1:1" x14ac:dyDescent="0.2">
      <c r="A9670" s="366"/>
    </row>
    <row r="9671" spans="1:1" x14ac:dyDescent="0.2">
      <c r="A9671" s="366"/>
    </row>
    <row r="9672" spans="1:1" x14ac:dyDescent="0.2">
      <c r="A9672" s="366"/>
    </row>
    <row r="9673" spans="1:1" x14ac:dyDescent="0.2">
      <c r="A9673" s="366"/>
    </row>
    <row r="9674" spans="1:1" x14ac:dyDescent="0.2">
      <c r="A9674" s="366"/>
    </row>
    <row r="9675" spans="1:1" x14ac:dyDescent="0.2">
      <c r="A9675" s="366"/>
    </row>
    <row r="9676" spans="1:1" x14ac:dyDescent="0.2">
      <c r="A9676" s="366"/>
    </row>
    <row r="9677" spans="1:1" x14ac:dyDescent="0.2">
      <c r="A9677" s="366"/>
    </row>
    <row r="9678" spans="1:1" x14ac:dyDescent="0.2">
      <c r="A9678" s="366"/>
    </row>
    <row r="9679" spans="1:1" x14ac:dyDescent="0.2">
      <c r="A9679" s="366"/>
    </row>
    <row r="9680" spans="1:1" x14ac:dyDescent="0.2">
      <c r="A9680" s="366"/>
    </row>
    <row r="9681" spans="1:1" x14ac:dyDescent="0.2">
      <c r="A9681" s="366"/>
    </row>
    <row r="9682" spans="1:1" x14ac:dyDescent="0.2">
      <c r="A9682" s="366"/>
    </row>
    <row r="9683" spans="1:1" x14ac:dyDescent="0.2">
      <c r="A9683" s="366"/>
    </row>
    <row r="9684" spans="1:1" x14ac:dyDescent="0.2">
      <c r="A9684" s="366"/>
    </row>
    <row r="9685" spans="1:1" x14ac:dyDescent="0.2">
      <c r="A9685" s="366"/>
    </row>
    <row r="9686" spans="1:1" x14ac:dyDescent="0.2">
      <c r="A9686" s="366"/>
    </row>
    <row r="9687" spans="1:1" x14ac:dyDescent="0.2">
      <c r="A9687" s="366"/>
    </row>
    <row r="9688" spans="1:1" x14ac:dyDescent="0.2">
      <c r="A9688" s="366"/>
    </row>
    <row r="9689" spans="1:1" x14ac:dyDescent="0.2">
      <c r="A9689" s="366"/>
    </row>
    <row r="9690" spans="1:1" x14ac:dyDescent="0.2">
      <c r="A9690" s="366"/>
    </row>
    <row r="9691" spans="1:1" x14ac:dyDescent="0.2">
      <c r="A9691" s="366"/>
    </row>
    <row r="9692" spans="1:1" x14ac:dyDescent="0.2">
      <c r="A9692" s="366"/>
    </row>
    <row r="9693" spans="1:1" x14ac:dyDescent="0.2">
      <c r="A9693" s="366"/>
    </row>
    <row r="9694" spans="1:1" x14ac:dyDescent="0.2">
      <c r="A9694" s="366"/>
    </row>
    <row r="9695" spans="1:1" x14ac:dyDescent="0.2">
      <c r="A9695" s="366"/>
    </row>
    <row r="9696" spans="1:1" x14ac:dyDescent="0.2">
      <c r="A9696" s="366"/>
    </row>
    <row r="9697" spans="1:1" x14ac:dyDescent="0.2">
      <c r="A9697" s="366"/>
    </row>
    <row r="9698" spans="1:1" x14ac:dyDescent="0.2">
      <c r="A9698" s="366"/>
    </row>
    <row r="9699" spans="1:1" x14ac:dyDescent="0.2">
      <c r="A9699" s="366"/>
    </row>
    <row r="9700" spans="1:1" x14ac:dyDescent="0.2">
      <c r="A9700" s="366"/>
    </row>
    <row r="9701" spans="1:1" x14ac:dyDescent="0.2">
      <c r="A9701" s="366"/>
    </row>
    <row r="9702" spans="1:1" x14ac:dyDescent="0.2">
      <c r="A9702" s="366"/>
    </row>
    <row r="9703" spans="1:1" x14ac:dyDescent="0.2">
      <c r="A9703" s="366"/>
    </row>
    <row r="9704" spans="1:1" x14ac:dyDescent="0.2">
      <c r="A9704" s="366"/>
    </row>
    <row r="9705" spans="1:1" x14ac:dyDescent="0.2">
      <c r="A9705" s="366"/>
    </row>
    <row r="9706" spans="1:1" x14ac:dyDescent="0.2">
      <c r="A9706" s="366"/>
    </row>
    <row r="9707" spans="1:1" x14ac:dyDescent="0.2">
      <c r="A9707" s="366"/>
    </row>
    <row r="9708" spans="1:1" x14ac:dyDescent="0.2">
      <c r="A9708" s="366"/>
    </row>
    <row r="9709" spans="1:1" x14ac:dyDescent="0.2">
      <c r="A9709" s="366"/>
    </row>
    <row r="9710" spans="1:1" x14ac:dyDescent="0.2">
      <c r="A9710" s="366"/>
    </row>
    <row r="9711" spans="1:1" x14ac:dyDescent="0.2">
      <c r="A9711" s="366"/>
    </row>
    <row r="9712" spans="1:1" x14ac:dyDescent="0.2">
      <c r="A9712" s="366"/>
    </row>
    <row r="9713" spans="1:1" x14ac:dyDescent="0.2">
      <c r="A9713" s="366"/>
    </row>
    <row r="9714" spans="1:1" x14ac:dyDescent="0.2">
      <c r="A9714" s="366"/>
    </row>
    <row r="9715" spans="1:1" x14ac:dyDescent="0.2">
      <c r="A9715" s="366"/>
    </row>
    <row r="9716" spans="1:1" x14ac:dyDescent="0.2">
      <c r="A9716" s="366"/>
    </row>
    <row r="9717" spans="1:1" x14ac:dyDescent="0.2">
      <c r="A9717" s="366"/>
    </row>
    <row r="9718" spans="1:1" x14ac:dyDescent="0.2">
      <c r="A9718" s="366"/>
    </row>
    <row r="9719" spans="1:1" x14ac:dyDescent="0.2">
      <c r="A9719" s="366"/>
    </row>
    <row r="9720" spans="1:1" x14ac:dyDescent="0.2">
      <c r="A9720" s="366"/>
    </row>
    <row r="9721" spans="1:1" x14ac:dyDescent="0.2">
      <c r="A9721" s="366"/>
    </row>
    <row r="9722" spans="1:1" x14ac:dyDescent="0.2">
      <c r="A9722" s="366"/>
    </row>
    <row r="9723" spans="1:1" x14ac:dyDescent="0.2">
      <c r="A9723" s="366"/>
    </row>
    <row r="9724" spans="1:1" x14ac:dyDescent="0.2">
      <c r="A9724" s="366"/>
    </row>
    <row r="9725" spans="1:1" x14ac:dyDescent="0.2">
      <c r="A9725" s="366"/>
    </row>
    <row r="9726" spans="1:1" x14ac:dyDescent="0.2">
      <c r="A9726" s="366"/>
    </row>
    <row r="9727" spans="1:1" x14ac:dyDescent="0.2">
      <c r="A9727" s="366"/>
    </row>
    <row r="9728" spans="1:1" x14ac:dyDescent="0.2">
      <c r="A9728" s="366"/>
    </row>
    <row r="9729" spans="1:1" x14ac:dyDescent="0.2">
      <c r="A9729" s="366"/>
    </row>
    <row r="9730" spans="1:1" x14ac:dyDescent="0.2">
      <c r="A9730" s="366"/>
    </row>
    <row r="9731" spans="1:1" x14ac:dyDescent="0.2">
      <c r="A9731" s="366"/>
    </row>
    <row r="9732" spans="1:1" x14ac:dyDescent="0.2">
      <c r="A9732" s="366"/>
    </row>
    <row r="9733" spans="1:1" x14ac:dyDescent="0.2">
      <c r="A9733" s="366"/>
    </row>
    <row r="9734" spans="1:1" x14ac:dyDescent="0.2">
      <c r="A9734" s="366"/>
    </row>
    <row r="9735" spans="1:1" x14ac:dyDescent="0.2">
      <c r="A9735" s="366"/>
    </row>
    <row r="9736" spans="1:1" x14ac:dyDescent="0.2">
      <c r="A9736" s="366"/>
    </row>
    <row r="9737" spans="1:1" x14ac:dyDescent="0.2">
      <c r="A9737" s="366"/>
    </row>
    <row r="9738" spans="1:1" x14ac:dyDescent="0.2">
      <c r="A9738" s="366"/>
    </row>
    <row r="9739" spans="1:1" x14ac:dyDescent="0.2">
      <c r="A9739" s="366"/>
    </row>
    <row r="9740" spans="1:1" x14ac:dyDescent="0.2">
      <c r="A9740" s="366"/>
    </row>
    <row r="9741" spans="1:1" x14ac:dyDescent="0.2">
      <c r="A9741" s="366"/>
    </row>
    <row r="9742" spans="1:1" x14ac:dyDescent="0.2">
      <c r="A9742" s="366"/>
    </row>
    <row r="9743" spans="1:1" x14ac:dyDescent="0.2">
      <c r="A9743" s="366"/>
    </row>
    <row r="9744" spans="1:1" x14ac:dyDescent="0.2">
      <c r="A9744" s="366"/>
    </row>
    <row r="9745" spans="1:1" x14ac:dyDescent="0.2">
      <c r="A9745" s="366"/>
    </row>
    <row r="9746" spans="1:1" x14ac:dyDescent="0.2">
      <c r="A9746" s="366"/>
    </row>
    <row r="9747" spans="1:1" x14ac:dyDescent="0.2">
      <c r="A9747" s="366"/>
    </row>
    <row r="9748" spans="1:1" x14ac:dyDescent="0.2">
      <c r="A9748" s="366"/>
    </row>
    <row r="9749" spans="1:1" x14ac:dyDescent="0.2">
      <c r="A9749" s="366"/>
    </row>
    <row r="9750" spans="1:1" x14ac:dyDescent="0.2">
      <c r="A9750" s="366"/>
    </row>
    <row r="9751" spans="1:1" x14ac:dyDescent="0.2">
      <c r="A9751" s="366"/>
    </row>
    <row r="9752" spans="1:1" x14ac:dyDescent="0.2">
      <c r="A9752" s="366"/>
    </row>
    <row r="9753" spans="1:1" x14ac:dyDescent="0.2">
      <c r="A9753" s="366"/>
    </row>
    <row r="9754" spans="1:1" x14ac:dyDescent="0.2">
      <c r="A9754" s="366"/>
    </row>
    <row r="9755" spans="1:1" x14ac:dyDescent="0.2">
      <c r="A9755" s="366"/>
    </row>
    <row r="9756" spans="1:1" x14ac:dyDescent="0.2">
      <c r="A9756" s="366"/>
    </row>
    <row r="9757" spans="1:1" x14ac:dyDescent="0.2">
      <c r="A9757" s="366"/>
    </row>
    <row r="9758" spans="1:1" x14ac:dyDescent="0.2">
      <c r="A9758" s="366"/>
    </row>
    <row r="9759" spans="1:1" x14ac:dyDescent="0.2">
      <c r="A9759" s="366"/>
    </row>
    <row r="9760" spans="1:1" x14ac:dyDescent="0.2">
      <c r="A9760" s="366"/>
    </row>
    <row r="9761" spans="1:1" x14ac:dyDescent="0.2">
      <c r="A9761" s="366"/>
    </row>
    <row r="9762" spans="1:1" x14ac:dyDescent="0.2">
      <c r="A9762" s="366"/>
    </row>
    <row r="9763" spans="1:1" x14ac:dyDescent="0.2">
      <c r="A9763" s="366"/>
    </row>
    <row r="9764" spans="1:1" x14ac:dyDescent="0.2">
      <c r="A9764" s="366"/>
    </row>
    <row r="9765" spans="1:1" x14ac:dyDescent="0.2">
      <c r="A9765" s="366"/>
    </row>
    <row r="9766" spans="1:1" x14ac:dyDescent="0.2">
      <c r="A9766" s="366"/>
    </row>
    <row r="9767" spans="1:1" x14ac:dyDescent="0.2">
      <c r="A9767" s="366"/>
    </row>
    <row r="9768" spans="1:1" x14ac:dyDescent="0.2">
      <c r="A9768" s="366"/>
    </row>
    <row r="9769" spans="1:1" x14ac:dyDescent="0.2">
      <c r="A9769" s="366"/>
    </row>
    <row r="9770" spans="1:1" x14ac:dyDescent="0.2">
      <c r="A9770" s="366"/>
    </row>
    <row r="9771" spans="1:1" x14ac:dyDescent="0.2">
      <c r="A9771" s="366"/>
    </row>
    <row r="9772" spans="1:1" x14ac:dyDescent="0.2">
      <c r="A9772" s="366"/>
    </row>
    <row r="9773" spans="1:1" x14ac:dyDescent="0.2">
      <c r="A9773" s="366"/>
    </row>
    <row r="9774" spans="1:1" x14ac:dyDescent="0.2">
      <c r="A9774" s="366"/>
    </row>
    <row r="9775" spans="1:1" x14ac:dyDescent="0.2">
      <c r="A9775" s="366"/>
    </row>
    <row r="9776" spans="1:1" x14ac:dyDescent="0.2">
      <c r="A9776" s="366"/>
    </row>
    <row r="9777" spans="1:1" x14ac:dyDescent="0.2">
      <c r="A9777" s="366"/>
    </row>
    <row r="9778" spans="1:1" x14ac:dyDescent="0.2">
      <c r="A9778" s="366"/>
    </row>
    <row r="9779" spans="1:1" x14ac:dyDescent="0.2">
      <c r="A9779" s="366"/>
    </row>
    <row r="9780" spans="1:1" x14ac:dyDescent="0.2">
      <c r="A9780" s="366"/>
    </row>
    <row r="9781" spans="1:1" x14ac:dyDescent="0.2">
      <c r="A9781" s="366"/>
    </row>
    <row r="9782" spans="1:1" x14ac:dyDescent="0.2">
      <c r="A9782" s="366"/>
    </row>
    <row r="9783" spans="1:1" x14ac:dyDescent="0.2">
      <c r="A9783" s="366"/>
    </row>
    <row r="9784" spans="1:1" x14ac:dyDescent="0.2">
      <c r="A9784" s="366"/>
    </row>
    <row r="9785" spans="1:1" x14ac:dyDescent="0.2">
      <c r="A9785" s="366"/>
    </row>
    <row r="9786" spans="1:1" x14ac:dyDescent="0.2">
      <c r="A9786" s="366"/>
    </row>
    <row r="9787" spans="1:1" x14ac:dyDescent="0.2">
      <c r="A9787" s="366"/>
    </row>
    <row r="9788" spans="1:1" x14ac:dyDescent="0.2">
      <c r="A9788" s="366"/>
    </row>
    <row r="9789" spans="1:1" x14ac:dyDescent="0.2">
      <c r="A9789" s="366"/>
    </row>
    <row r="9790" spans="1:1" x14ac:dyDescent="0.2">
      <c r="A9790" s="366"/>
    </row>
    <row r="9791" spans="1:1" x14ac:dyDescent="0.2">
      <c r="A9791" s="366"/>
    </row>
    <row r="9792" spans="1:1" x14ac:dyDescent="0.2">
      <c r="A9792" s="366"/>
    </row>
    <row r="9793" spans="1:1" x14ac:dyDescent="0.2">
      <c r="A9793" s="366"/>
    </row>
    <row r="9794" spans="1:1" x14ac:dyDescent="0.2">
      <c r="A9794" s="366"/>
    </row>
    <row r="9795" spans="1:1" x14ac:dyDescent="0.2">
      <c r="A9795" s="366"/>
    </row>
    <row r="9796" spans="1:1" x14ac:dyDescent="0.2">
      <c r="A9796" s="366"/>
    </row>
    <row r="9797" spans="1:1" x14ac:dyDescent="0.2">
      <c r="A9797" s="366"/>
    </row>
    <row r="9798" spans="1:1" x14ac:dyDescent="0.2">
      <c r="A9798" s="366"/>
    </row>
    <row r="9799" spans="1:1" x14ac:dyDescent="0.2">
      <c r="A9799" s="366"/>
    </row>
    <row r="9800" spans="1:1" x14ac:dyDescent="0.2">
      <c r="A9800" s="366"/>
    </row>
    <row r="9801" spans="1:1" x14ac:dyDescent="0.2">
      <c r="A9801" s="366"/>
    </row>
    <row r="9802" spans="1:1" x14ac:dyDescent="0.2">
      <c r="A9802" s="366"/>
    </row>
    <row r="9803" spans="1:1" x14ac:dyDescent="0.2">
      <c r="A9803" s="366"/>
    </row>
    <row r="9804" spans="1:1" x14ac:dyDescent="0.2">
      <c r="A9804" s="366"/>
    </row>
    <row r="9805" spans="1:1" x14ac:dyDescent="0.2">
      <c r="A9805" s="366"/>
    </row>
    <row r="9806" spans="1:1" x14ac:dyDescent="0.2">
      <c r="A9806" s="366"/>
    </row>
    <row r="9807" spans="1:1" x14ac:dyDescent="0.2">
      <c r="A9807" s="366"/>
    </row>
    <row r="9808" spans="1:1" x14ac:dyDescent="0.2">
      <c r="A9808" s="366"/>
    </row>
    <row r="9809" spans="1:1" x14ac:dyDescent="0.2">
      <c r="A9809" s="366"/>
    </row>
    <row r="9810" spans="1:1" x14ac:dyDescent="0.2">
      <c r="A9810" s="366"/>
    </row>
    <row r="9811" spans="1:1" x14ac:dyDescent="0.2">
      <c r="A9811" s="366"/>
    </row>
    <row r="9812" spans="1:1" x14ac:dyDescent="0.2">
      <c r="A9812" s="366"/>
    </row>
    <row r="9813" spans="1:1" x14ac:dyDescent="0.2">
      <c r="A9813" s="366"/>
    </row>
    <row r="9814" spans="1:1" x14ac:dyDescent="0.2">
      <c r="A9814" s="366"/>
    </row>
    <row r="9815" spans="1:1" x14ac:dyDescent="0.2">
      <c r="A9815" s="366"/>
    </row>
    <row r="9816" spans="1:1" x14ac:dyDescent="0.2">
      <c r="A9816" s="366"/>
    </row>
    <row r="9817" spans="1:1" x14ac:dyDescent="0.2">
      <c r="A9817" s="366"/>
    </row>
    <row r="9818" spans="1:1" x14ac:dyDescent="0.2">
      <c r="A9818" s="366"/>
    </row>
    <row r="9819" spans="1:1" x14ac:dyDescent="0.2">
      <c r="A9819" s="366"/>
    </row>
    <row r="9820" spans="1:1" x14ac:dyDescent="0.2">
      <c r="A9820" s="366"/>
    </row>
    <row r="9821" spans="1:1" x14ac:dyDescent="0.2">
      <c r="A9821" s="366"/>
    </row>
    <row r="9822" spans="1:1" x14ac:dyDescent="0.2">
      <c r="A9822" s="366"/>
    </row>
    <row r="9823" spans="1:1" x14ac:dyDescent="0.2">
      <c r="A9823" s="366"/>
    </row>
    <row r="9824" spans="1:1" x14ac:dyDescent="0.2">
      <c r="A9824" s="366"/>
    </row>
    <row r="9825" spans="1:1" x14ac:dyDescent="0.2">
      <c r="A9825" s="366"/>
    </row>
    <row r="9826" spans="1:1" x14ac:dyDescent="0.2">
      <c r="A9826" s="366"/>
    </row>
    <row r="9827" spans="1:1" x14ac:dyDescent="0.2">
      <c r="A9827" s="366"/>
    </row>
    <row r="9828" spans="1:1" x14ac:dyDescent="0.2">
      <c r="A9828" s="366"/>
    </row>
    <row r="9829" spans="1:1" x14ac:dyDescent="0.2">
      <c r="A9829" s="366"/>
    </row>
    <row r="9830" spans="1:1" x14ac:dyDescent="0.2">
      <c r="A9830" s="366"/>
    </row>
    <row r="9831" spans="1:1" x14ac:dyDescent="0.2">
      <c r="A9831" s="366"/>
    </row>
    <row r="9832" spans="1:1" x14ac:dyDescent="0.2">
      <c r="A9832" s="366"/>
    </row>
    <row r="9833" spans="1:1" x14ac:dyDescent="0.2">
      <c r="A9833" s="366"/>
    </row>
    <row r="9834" spans="1:1" x14ac:dyDescent="0.2">
      <c r="A9834" s="366"/>
    </row>
    <row r="9835" spans="1:1" x14ac:dyDescent="0.2">
      <c r="A9835" s="366"/>
    </row>
    <row r="9836" spans="1:1" x14ac:dyDescent="0.2">
      <c r="A9836" s="366"/>
    </row>
    <row r="9837" spans="1:1" x14ac:dyDescent="0.2">
      <c r="A9837" s="366"/>
    </row>
    <row r="9838" spans="1:1" x14ac:dyDescent="0.2">
      <c r="A9838" s="366"/>
    </row>
    <row r="9839" spans="1:1" x14ac:dyDescent="0.2">
      <c r="A9839" s="366"/>
    </row>
    <row r="9840" spans="1:1" x14ac:dyDescent="0.2">
      <c r="A9840" s="366"/>
    </row>
    <row r="9841" spans="1:1" x14ac:dyDescent="0.2">
      <c r="A9841" s="366"/>
    </row>
    <row r="9842" spans="1:1" x14ac:dyDescent="0.2">
      <c r="A9842" s="366"/>
    </row>
    <row r="9843" spans="1:1" x14ac:dyDescent="0.2">
      <c r="A9843" s="366"/>
    </row>
    <row r="9844" spans="1:1" x14ac:dyDescent="0.2">
      <c r="A9844" s="366"/>
    </row>
    <row r="9845" spans="1:1" x14ac:dyDescent="0.2">
      <c r="A9845" s="366"/>
    </row>
    <row r="9846" spans="1:1" x14ac:dyDescent="0.2">
      <c r="A9846" s="366"/>
    </row>
    <row r="9847" spans="1:1" x14ac:dyDescent="0.2">
      <c r="A9847" s="366"/>
    </row>
    <row r="9848" spans="1:1" x14ac:dyDescent="0.2">
      <c r="A9848" s="366"/>
    </row>
    <row r="9849" spans="1:1" x14ac:dyDescent="0.2">
      <c r="A9849" s="366"/>
    </row>
    <row r="9850" spans="1:1" x14ac:dyDescent="0.2">
      <c r="A9850" s="366"/>
    </row>
    <row r="9851" spans="1:1" x14ac:dyDescent="0.2">
      <c r="A9851" s="366"/>
    </row>
    <row r="9852" spans="1:1" x14ac:dyDescent="0.2">
      <c r="A9852" s="366"/>
    </row>
    <row r="9853" spans="1:1" x14ac:dyDescent="0.2">
      <c r="A9853" s="366"/>
    </row>
    <row r="9854" spans="1:1" x14ac:dyDescent="0.2">
      <c r="A9854" s="366"/>
    </row>
    <row r="9855" spans="1:1" x14ac:dyDescent="0.2">
      <c r="A9855" s="366"/>
    </row>
    <row r="9856" spans="1:1" x14ac:dyDescent="0.2">
      <c r="A9856" s="366"/>
    </row>
    <row r="9857" spans="1:1" x14ac:dyDescent="0.2">
      <c r="A9857" s="366"/>
    </row>
    <row r="9858" spans="1:1" x14ac:dyDescent="0.2">
      <c r="A9858" s="366"/>
    </row>
    <row r="9859" spans="1:1" x14ac:dyDescent="0.2">
      <c r="A9859" s="366"/>
    </row>
    <row r="9860" spans="1:1" x14ac:dyDescent="0.2">
      <c r="A9860" s="366"/>
    </row>
    <row r="9861" spans="1:1" x14ac:dyDescent="0.2">
      <c r="A9861" s="366"/>
    </row>
    <row r="9862" spans="1:1" x14ac:dyDescent="0.2">
      <c r="A9862" s="366"/>
    </row>
    <row r="9863" spans="1:1" x14ac:dyDescent="0.2">
      <c r="A9863" s="366"/>
    </row>
    <row r="9864" spans="1:1" x14ac:dyDescent="0.2">
      <c r="A9864" s="366"/>
    </row>
    <row r="9865" spans="1:1" x14ac:dyDescent="0.2">
      <c r="A9865" s="366"/>
    </row>
    <row r="9866" spans="1:1" x14ac:dyDescent="0.2">
      <c r="A9866" s="366"/>
    </row>
    <row r="9867" spans="1:1" x14ac:dyDescent="0.2">
      <c r="A9867" s="366"/>
    </row>
    <row r="9868" spans="1:1" x14ac:dyDescent="0.2">
      <c r="A9868" s="366"/>
    </row>
    <row r="9869" spans="1:1" x14ac:dyDescent="0.2">
      <c r="A9869" s="366"/>
    </row>
    <row r="9870" spans="1:1" x14ac:dyDescent="0.2">
      <c r="A9870" s="366"/>
    </row>
    <row r="9871" spans="1:1" x14ac:dyDescent="0.2">
      <c r="A9871" s="366"/>
    </row>
    <row r="9872" spans="1:1" x14ac:dyDescent="0.2">
      <c r="A9872" s="366"/>
    </row>
    <row r="9873" spans="1:1" x14ac:dyDescent="0.2">
      <c r="A9873" s="366"/>
    </row>
    <row r="9874" spans="1:1" x14ac:dyDescent="0.2">
      <c r="A9874" s="366"/>
    </row>
    <row r="9875" spans="1:1" x14ac:dyDescent="0.2">
      <c r="A9875" s="366"/>
    </row>
    <row r="9876" spans="1:1" x14ac:dyDescent="0.2">
      <c r="A9876" s="366"/>
    </row>
    <row r="9877" spans="1:1" x14ac:dyDescent="0.2">
      <c r="A9877" s="366"/>
    </row>
    <row r="9878" spans="1:1" x14ac:dyDescent="0.2">
      <c r="A9878" s="366"/>
    </row>
    <row r="9879" spans="1:1" x14ac:dyDescent="0.2">
      <c r="A9879" s="366"/>
    </row>
    <row r="9880" spans="1:1" x14ac:dyDescent="0.2">
      <c r="A9880" s="366"/>
    </row>
    <row r="9881" spans="1:1" x14ac:dyDescent="0.2">
      <c r="A9881" s="366"/>
    </row>
    <row r="9882" spans="1:1" x14ac:dyDescent="0.2">
      <c r="A9882" s="366"/>
    </row>
    <row r="9883" spans="1:1" x14ac:dyDescent="0.2">
      <c r="A9883" s="366"/>
    </row>
    <row r="9884" spans="1:1" x14ac:dyDescent="0.2">
      <c r="A9884" s="366"/>
    </row>
    <row r="9885" spans="1:1" x14ac:dyDescent="0.2">
      <c r="A9885" s="366"/>
    </row>
    <row r="9886" spans="1:1" x14ac:dyDescent="0.2">
      <c r="A9886" s="366"/>
    </row>
    <row r="9887" spans="1:1" x14ac:dyDescent="0.2">
      <c r="A9887" s="366"/>
    </row>
    <row r="9888" spans="1:1" x14ac:dyDescent="0.2">
      <c r="A9888" s="366"/>
    </row>
    <row r="9889" spans="1:1" x14ac:dyDescent="0.2">
      <c r="A9889" s="366"/>
    </row>
    <row r="9890" spans="1:1" x14ac:dyDescent="0.2">
      <c r="A9890" s="366"/>
    </row>
    <row r="9891" spans="1:1" x14ac:dyDescent="0.2">
      <c r="A9891" s="366"/>
    </row>
    <row r="9892" spans="1:1" x14ac:dyDescent="0.2">
      <c r="A9892" s="366"/>
    </row>
    <row r="9893" spans="1:1" x14ac:dyDescent="0.2">
      <c r="A9893" s="366"/>
    </row>
    <row r="9894" spans="1:1" x14ac:dyDescent="0.2">
      <c r="A9894" s="366"/>
    </row>
    <row r="9895" spans="1:1" x14ac:dyDescent="0.2">
      <c r="A9895" s="366"/>
    </row>
    <row r="9896" spans="1:1" x14ac:dyDescent="0.2">
      <c r="A9896" s="366"/>
    </row>
    <row r="9897" spans="1:1" x14ac:dyDescent="0.2">
      <c r="A9897" s="366"/>
    </row>
    <row r="9898" spans="1:1" x14ac:dyDescent="0.2">
      <c r="A9898" s="366"/>
    </row>
    <row r="9899" spans="1:1" x14ac:dyDescent="0.2">
      <c r="A9899" s="366"/>
    </row>
    <row r="9900" spans="1:1" x14ac:dyDescent="0.2">
      <c r="A9900" s="366"/>
    </row>
    <row r="9901" spans="1:1" x14ac:dyDescent="0.2">
      <c r="A9901" s="366"/>
    </row>
    <row r="9902" spans="1:1" x14ac:dyDescent="0.2">
      <c r="A9902" s="366"/>
    </row>
    <row r="9903" spans="1:1" x14ac:dyDescent="0.2">
      <c r="A9903" s="366"/>
    </row>
    <row r="9904" spans="1:1" x14ac:dyDescent="0.2">
      <c r="A9904" s="366"/>
    </row>
    <row r="9905" spans="1:1" x14ac:dyDescent="0.2">
      <c r="A9905" s="366"/>
    </row>
    <row r="9906" spans="1:1" x14ac:dyDescent="0.2">
      <c r="A9906" s="366"/>
    </row>
    <row r="9907" spans="1:1" x14ac:dyDescent="0.2">
      <c r="A9907" s="366"/>
    </row>
    <row r="9908" spans="1:1" x14ac:dyDescent="0.2">
      <c r="A9908" s="366"/>
    </row>
    <row r="9909" spans="1:1" x14ac:dyDescent="0.2">
      <c r="A9909" s="366"/>
    </row>
    <row r="9910" spans="1:1" x14ac:dyDescent="0.2">
      <c r="A9910" s="366"/>
    </row>
    <row r="9911" spans="1:1" x14ac:dyDescent="0.2">
      <c r="A9911" s="366"/>
    </row>
    <row r="9912" spans="1:1" x14ac:dyDescent="0.2">
      <c r="A9912" s="366"/>
    </row>
    <row r="9913" spans="1:1" x14ac:dyDescent="0.2">
      <c r="A9913" s="366"/>
    </row>
    <row r="9914" spans="1:1" x14ac:dyDescent="0.2">
      <c r="A9914" s="366"/>
    </row>
    <row r="9915" spans="1:1" x14ac:dyDescent="0.2">
      <c r="A9915" s="366"/>
    </row>
    <row r="9916" spans="1:1" x14ac:dyDescent="0.2">
      <c r="A9916" s="366"/>
    </row>
    <row r="9917" spans="1:1" x14ac:dyDescent="0.2">
      <c r="A9917" s="366"/>
    </row>
    <row r="9918" spans="1:1" x14ac:dyDescent="0.2">
      <c r="A9918" s="366"/>
    </row>
    <row r="9919" spans="1:1" x14ac:dyDescent="0.2">
      <c r="A9919" s="366"/>
    </row>
    <row r="9920" spans="1:1" x14ac:dyDescent="0.2">
      <c r="A9920" s="366"/>
    </row>
    <row r="9921" spans="1:1" x14ac:dyDescent="0.2">
      <c r="A9921" s="366"/>
    </row>
    <row r="9922" spans="1:1" x14ac:dyDescent="0.2">
      <c r="A9922" s="366"/>
    </row>
    <row r="9923" spans="1:1" x14ac:dyDescent="0.2">
      <c r="A9923" s="366"/>
    </row>
    <row r="9924" spans="1:1" x14ac:dyDescent="0.2">
      <c r="A9924" s="366"/>
    </row>
    <row r="9925" spans="1:1" x14ac:dyDescent="0.2">
      <c r="A9925" s="366"/>
    </row>
    <row r="9926" spans="1:1" x14ac:dyDescent="0.2">
      <c r="A9926" s="366"/>
    </row>
    <row r="9927" spans="1:1" x14ac:dyDescent="0.2">
      <c r="A9927" s="366"/>
    </row>
    <row r="9928" spans="1:1" x14ac:dyDescent="0.2">
      <c r="A9928" s="366"/>
    </row>
    <row r="9929" spans="1:1" x14ac:dyDescent="0.2">
      <c r="A9929" s="366"/>
    </row>
    <row r="9930" spans="1:1" x14ac:dyDescent="0.2">
      <c r="A9930" s="366"/>
    </row>
    <row r="9931" spans="1:1" x14ac:dyDescent="0.2">
      <c r="A9931" s="366"/>
    </row>
    <row r="9932" spans="1:1" x14ac:dyDescent="0.2">
      <c r="A9932" s="366"/>
    </row>
    <row r="9933" spans="1:1" x14ac:dyDescent="0.2">
      <c r="A9933" s="366"/>
    </row>
    <row r="9934" spans="1:1" x14ac:dyDescent="0.2">
      <c r="A9934" s="366"/>
    </row>
    <row r="9935" spans="1:1" x14ac:dyDescent="0.2">
      <c r="A9935" s="366"/>
    </row>
    <row r="9936" spans="1:1" x14ac:dyDescent="0.2">
      <c r="A9936" s="366"/>
    </row>
    <row r="9937" spans="1:1" x14ac:dyDescent="0.2">
      <c r="A9937" s="366"/>
    </row>
    <row r="9938" spans="1:1" x14ac:dyDescent="0.2">
      <c r="A9938" s="366"/>
    </row>
    <row r="9939" spans="1:1" x14ac:dyDescent="0.2">
      <c r="A9939" s="366"/>
    </row>
    <row r="9940" spans="1:1" x14ac:dyDescent="0.2">
      <c r="A9940" s="366"/>
    </row>
    <row r="9941" spans="1:1" x14ac:dyDescent="0.2">
      <c r="A9941" s="366"/>
    </row>
    <row r="9942" spans="1:1" x14ac:dyDescent="0.2">
      <c r="A9942" s="366"/>
    </row>
    <row r="9943" spans="1:1" x14ac:dyDescent="0.2">
      <c r="A9943" s="366"/>
    </row>
    <row r="9944" spans="1:1" x14ac:dyDescent="0.2">
      <c r="A9944" s="366"/>
    </row>
    <row r="9945" spans="1:1" x14ac:dyDescent="0.2">
      <c r="A9945" s="366"/>
    </row>
    <row r="9946" spans="1:1" x14ac:dyDescent="0.2">
      <c r="A9946" s="366"/>
    </row>
    <row r="9947" spans="1:1" x14ac:dyDescent="0.2">
      <c r="A9947" s="366"/>
    </row>
    <row r="9948" spans="1:1" x14ac:dyDescent="0.2">
      <c r="A9948" s="366"/>
    </row>
    <row r="9949" spans="1:1" x14ac:dyDescent="0.2">
      <c r="A9949" s="366"/>
    </row>
    <row r="9950" spans="1:1" x14ac:dyDescent="0.2">
      <c r="A9950" s="366"/>
    </row>
    <row r="9951" spans="1:1" x14ac:dyDescent="0.2">
      <c r="A9951" s="366"/>
    </row>
    <row r="9952" spans="1:1" x14ac:dyDescent="0.2">
      <c r="A9952" s="366"/>
    </row>
    <row r="9953" spans="1:1" x14ac:dyDescent="0.2">
      <c r="A9953" s="366"/>
    </row>
    <row r="9954" spans="1:1" x14ac:dyDescent="0.2">
      <c r="A9954" s="366"/>
    </row>
    <row r="9955" spans="1:1" x14ac:dyDescent="0.2">
      <c r="A9955" s="366"/>
    </row>
    <row r="9956" spans="1:1" x14ac:dyDescent="0.2">
      <c r="A9956" s="366"/>
    </row>
    <row r="9957" spans="1:1" x14ac:dyDescent="0.2">
      <c r="A9957" s="366"/>
    </row>
    <row r="9958" spans="1:1" x14ac:dyDescent="0.2">
      <c r="A9958" s="366"/>
    </row>
    <row r="9959" spans="1:1" x14ac:dyDescent="0.2">
      <c r="A9959" s="366"/>
    </row>
    <row r="9960" spans="1:1" x14ac:dyDescent="0.2">
      <c r="A9960" s="366"/>
    </row>
    <row r="9961" spans="1:1" x14ac:dyDescent="0.2">
      <c r="A9961" s="366"/>
    </row>
    <row r="9962" spans="1:1" x14ac:dyDescent="0.2">
      <c r="A9962" s="366"/>
    </row>
    <row r="9963" spans="1:1" x14ac:dyDescent="0.2">
      <c r="A9963" s="366"/>
    </row>
    <row r="9964" spans="1:1" x14ac:dyDescent="0.2">
      <c r="A9964" s="366"/>
    </row>
    <row r="9965" spans="1:1" x14ac:dyDescent="0.2">
      <c r="A9965" s="366"/>
    </row>
    <row r="9966" spans="1:1" x14ac:dyDescent="0.2">
      <c r="A9966" s="366"/>
    </row>
    <row r="9967" spans="1:1" x14ac:dyDescent="0.2">
      <c r="A9967" s="366"/>
    </row>
    <row r="9968" spans="1:1" x14ac:dyDescent="0.2">
      <c r="A9968" s="366"/>
    </row>
    <row r="9969" spans="1:1" x14ac:dyDescent="0.2">
      <c r="A9969" s="366"/>
    </row>
    <row r="9970" spans="1:1" x14ac:dyDescent="0.2">
      <c r="A9970" s="366"/>
    </row>
    <row r="9971" spans="1:1" x14ac:dyDescent="0.2">
      <c r="A9971" s="366"/>
    </row>
    <row r="9972" spans="1:1" x14ac:dyDescent="0.2">
      <c r="A9972" s="366"/>
    </row>
    <row r="9973" spans="1:1" x14ac:dyDescent="0.2">
      <c r="A9973" s="366"/>
    </row>
    <row r="9974" spans="1:1" x14ac:dyDescent="0.2">
      <c r="A9974" s="366"/>
    </row>
    <row r="9975" spans="1:1" x14ac:dyDescent="0.2">
      <c r="A9975" s="366"/>
    </row>
    <row r="9976" spans="1:1" x14ac:dyDescent="0.2">
      <c r="A9976" s="366"/>
    </row>
    <row r="9977" spans="1:1" x14ac:dyDescent="0.2">
      <c r="A9977" s="366"/>
    </row>
    <row r="9978" spans="1:1" x14ac:dyDescent="0.2">
      <c r="A9978" s="366"/>
    </row>
    <row r="9979" spans="1:1" x14ac:dyDescent="0.2">
      <c r="A9979" s="366"/>
    </row>
    <row r="9980" spans="1:1" x14ac:dyDescent="0.2">
      <c r="A9980" s="366"/>
    </row>
    <row r="9981" spans="1:1" x14ac:dyDescent="0.2">
      <c r="A9981" s="366"/>
    </row>
    <row r="9982" spans="1:1" x14ac:dyDescent="0.2">
      <c r="A9982" s="366"/>
    </row>
    <row r="9983" spans="1:1" x14ac:dyDescent="0.2">
      <c r="A9983" s="366"/>
    </row>
    <row r="9984" spans="1:1" x14ac:dyDescent="0.2">
      <c r="A9984" s="366"/>
    </row>
    <row r="9985" spans="1:1" x14ac:dyDescent="0.2">
      <c r="A9985" s="366"/>
    </row>
    <row r="9986" spans="1:1" x14ac:dyDescent="0.2">
      <c r="A9986" s="366"/>
    </row>
    <row r="9987" spans="1:1" x14ac:dyDescent="0.2">
      <c r="A9987" s="366"/>
    </row>
    <row r="9988" spans="1:1" x14ac:dyDescent="0.2">
      <c r="A9988" s="366"/>
    </row>
    <row r="9989" spans="1:1" x14ac:dyDescent="0.2">
      <c r="A9989" s="366"/>
    </row>
    <row r="9990" spans="1:1" x14ac:dyDescent="0.2">
      <c r="A9990" s="366"/>
    </row>
    <row r="9991" spans="1:1" x14ac:dyDescent="0.2">
      <c r="A9991" s="366"/>
    </row>
    <row r="9992" spans="1:1" x14ac:dyDescent="0.2">
      <c r="A9992" s="366"/>
    </row>
    <row r="9993" spans="1:1" x14ac:dyDescent="0.2">
      <c r="A9993" s="366"/>
    </row>
    <row r="9994" spans="1:1" x14ac:dyDescent="0.2">
      <c r="A9994" s="366"/>
    </row>
    <row r="9995" spans="1:1" x14ac:dyDescent="0.2">
      <c r="A9995" s="366"/>
    </row>
    <row r="9996" spans="1:1" x14ac:dyDescent="0.2">
      <c r="A9996" s="366"/>
    </row>
    <row r="9997" spans="1:1" x14ac:dyDescent="0.2">
      <c r="A9997" s="366"/>
    </row>
    <row r="9998" spans="1:1" x14ac:dyDescent="0.2">
      <c r="A9998" s="366"/>
    </row>
    <row r="9999" spans="1:1" x14ac:dyDescent="0.2">
      <c r="A9999" s="366"/>
    </row>
    <row r="10000" spans="1:1" x14ac:dyDescent="0.2">
      <c r="A10000" s="366"/>
    </row>
    <row r="10001" spans="1:1" x14ac:dyDescent="0.2">
      <c r="A10001" s="366"/>
    </row>
    <row r="10002" spans="1:1" x14ac:dyDescent="0.2">
      <c r="A10002" s="366"/>
    </row>
    <row r="10003" spans="1:1" x14ac:dyDescent="0.2">
      <c r="A10003" s="366"/>
    </row>
    <row r="10004" spans="1:1" x14ac:dyDescent="0.2">
      <c r="A10004" s="366"/>
    </row>
    <row r="10005" spans="1:1" x14ac:dyDescent="0.2">
      <c r="A10005" s="366"/>
    </row>
    <row r="10006" spans="1:1" x14ac:dyDescent="0.2">
      <c r="A10006" s="366"/>
    </row>
    <row r="10007" spans="1:1" x14ac:dyDescent="0.2">
      <c r="A10007" s="366"/>
    </row>
    <row r="10008" spans="1:1" x14ac:dyDescent="0.2">
      <c r="A10008" s="366"/>
    </row>
    <row r="10009" spans="1:1" x14ac:dyDescent="0.2">
      <c r="A10009" s="366"/>
    </row>
    <row r="10010" spans="1:1" x14ac:dyDescent="0.2">
      <c r="A10010" s="366"/>
    </row>
    <row r="10011" spans="1:1" x14ac:dyDescent="0.2">
      <c r="A10011" s="366"/>
    </row>
    <row r="10012" spans="1:1" x14ac:dyDescent="0.2">
      <c r="A10012" s="366"/>
    </row>
    <row r="10013" spans="1:1" x14ac:dyDescent="0.2">
      <c r="A10013" s="366"/>
    </row>
    <row r="10014" spans="1:1" x14ac:dyDescent="0.2">
      <c r="A10014" s="366"/>
    </row>
    <row r="10015" spans="1:1" x14ac:dyDescent="0.2">
      <c r="A10015" s="366"/>
    </row>
    <row r="10016" spans="1:1" x14ac:dyDescent="0.2">
      <c r="A10016" s="366"/>
    </row>
    <row r="10017" spans="1:1" x14ac:dyDescent="0.2">
      <c r="A10017" s="366"/>
    </row>
    <row r="10018" spans="1:1" x14ac:dyDescent="0.2">
      <c r="A10018" s="366"/>
    </row>
    <row r="10019" spans="1:1" x14ac:dyDescent="0.2">
      <c r="A10019" s="366"/>
    </row>
    <row r="10020" spans="1:1" x14ac:dyDescent="0.2">
      <c r="A10020" s="366"/>
    </row>
    <row r="10021" spans="1:1" x14ac:dyDescent="0.2">
      <c r="A10021" s="366"/>
    </row>
    <row r="10022" spans="1:1" x14ac:dyDescent="0.2">
      <c r="A10022" s="366"/>
    </row>
    <row r="10023" spans="1:1" x14ac:dyDescent="0.2">
      <c r="A10023" s="366"/>
    </row>
    <row r="10024" spans="1:1" x14ac:dyDescent="0.2">
      <c r="A10024" s="366"/>
    </row>
    <row r="10025" spans="1:1" x14ac:dyDescent="0.2">
      <c r="A10025" s="366"/>
    </row>
    <row r="10026" spans="1:1" x14ac:dyDescent="0.2">
      <c r="A10026" s="366"/>
    </row>
    <row r="10027" spans="1:1" x14ac:dyDescent="0.2">
      <c r="A10027" s="366"/>
    </row>
    <row r="10028" spans="1:1" x14ac:dyDescent="0.2">
      <c r="A10028" s="366"/>
    </row>
    <row r="10029" spans="1:1" x14ac:dyDescent="0.2">
      <c r="A10029" s="366"/>
    </row>
    <row r="10030" spans="1:1" x14ac:dyDescent="0.2">
      <c r="A10030" s="366"/>
    </row>
    <row r="10031" spans="1:1" x14ac:dyDescent="0.2">
      <c r="A10031" s="366"/>
    </row>
    <row r="10032" spans="1:1" x14ac:dyDescent="0.2">
      <c r="A10032" s="366"/>
    </row>
    <row r="10033" spans="1:1" x14ac:dyDescent="0.2">
      <c r="A10033" s="366"/>
    </row>
    <row r="10034" spans="1:1" x14ac:dyDescent="0.2">
      <c r="A10034" s="366"/>
    </row>
    <row r="10035" spans="1:1" x14ac:dyDescent="0.2">
      <c r="A10035" s="366"/>
    </row>
    <row r="10036" spans="1:1" x14ac:dyDescent="0.2">
      <c r="A10036" s="366"/>
    </row>
    <row r="10037" spans="1:1" x14ac:dyDescent="0.2">
      <c r="A10037" s="366"/>
    </row>
    <row r="10038" spans="1:1" x14ac:dyDescent="0.2">
      <c r="A10038" s="366"/>
    </row>
    <row r="10039" spans="1:1" x14ac:dyDescent="0.2">
      <c r="A10039" s="366"/>
    </row>
    <row r="10040" spans="1:1" x14ac:dyDescent="0.2">
      <c r="A10040" s="366"/>
    </row>
    <row r="10041" spans="1:1" x14ac:dyDescent="0.2">
      <c r="A10041" s="366"/>
    </row>
    <row r="10042" spans="1:1" x14ac:dyDescent="0.2">
      <c r="A10042" s="366"/>
    </row>
    <row r="10043" spans="1:1" x14ac:dyDescent="0.2">
      <c r="A10043" s="366"/>
    </row>
    <row r="10044" spans="1:1" x14ac:dyDescent="0.2">
      <c r="A10044" s="366"/>
    </row>
    <row r="10045" spans="1:1" x14ac:dyDescent="0.2">
      <c r="A10045" s="366"/>
    </row>
    <row r="10046" spans="1:1" x14ac:dyDescent="0.2">
      <c r="A10046" s="366"/>
    </row>
    <row r="10047" spans="1:1" x14ac:dyDescent="0.2">
      <c r="A10047" s="366"/>
    </row>
    <row r="10048" spans="1:1" x14ac:dyDescent="0.2">
      <c r="A10048" s="366"/>
    </row>
    <row r="10049" spans="1:1" x14ac:dyDescent="0.2">
      <c r="A10049" s="366"/>
    </row>
    <row r="10050" spans="1:1" x14ac:dyDescent="0.2">
      <c r="A10050" s="366"/>
    </row>
    <row r="10051" spans="1:1" x14ac:dyDescent="0.2">
      <c r="A10051" s="366"/>
    </row>
    <row r="10052" spans="1:1" x14ac:dyDescent="0.2">
      <c r="A10052" s="366"/>
    </row>
    <row r="10053" spans="1:1" x14ac:dyDescent="0.2">
      <c r="A10053" s="366"/>
    </row>
    <row r="10054" spans="1:1" x14ac:dyDescent="0.2">
      <c r="A10054" s="366"/>
    </row>
    <row r="10055" spans="1:1" x14ac:dyDescent="0.2">
      <c r="A10055" s="366"/>
    </row>
    <row r="10056" spans="1:1" x14ac:dyDescent="0.2">
      <c r="A10056" s="366"/>
    </row>
    <row r="10057" spans="1:1" x14ac:dyDescent="0.2">
      <c r="A10057" s="366"/>
    </row>
    <row r="10058" spans="1:1" x14ac:dyDescent="0.2">
      <c r="A10058" s="366"/>
    </row>
    <row r="10059" spans="1:1" x14ac:dyDescent="0.2">
      <c r="A10059" s="366"/>
    </row>
    <row r="10060" spans="1:1" x14ac:dyDescent="0.2">
      <c r="A10060" s="366"/>
    </row>
    <row r="10061" spans="1:1" x14ac:dyDescent="0.2">
      <c r="A10061" s="366"/>
    </row>
    <row r="10062" spans="1:1" x14ac:dyDescent="0.2">
      <c r="A10062" s="366"/>
    </row>
    <row r="10063" spans="1:1" x14ac:dyDescent="0.2">
      <c r="A10063" s="366"/>
    </row>
    <row r="10064" spans="1:1" x14ac:dyDescent="0.2">
      <c r="A10064" s="366"/>
    </row>
    <row r="10065" spans="1:1" x14ac:dyDescent="0.2">
      <c r="A10065" s="366"/>
    </row>
    <row r="10066" spans="1:1" x14ac:dyDescent="0.2">
      <c r="A10066" s="366"/>
    </row>
    <row r="10067" spans="1:1" x14ac:dyDescent="0.2">
      <c r="A10067" s="366"/>
    </row>
    <row r="10068" spans="1:1" x14ac:dyDescent="0.2">
      <c r="A10068" s="366"/>
    </row>
    <row r="10069" spans="1:1" x14ac:dyDescent="0.2">
      <c r="A10069" s="366"/>
    </row>
    <row r="10070" spans="1:1" x14ac:dyDescent="0.2">
      <c r="A10070" s="366"/>
    </row>
    <row r="10071" spans="1:1" x14ac:dyDescent="0.2">
      <c r="A10071" s="366"/>
    </row>
    <row r="10072" spans="1:1" x14ac:dyDescent="0.2">
      <c r="A10072" s="366"/>
    </row>
    <row r="10073" spans="1:1" x14ac:dyDescent="0.2">
      <c r="A10073" s="366"/>
    </row>
    <row r="10074" spans="1:1" x14ac:dyDescent="0.2">
      <c r="A10074" s="366"/>
    </row>
    <row r="10075" spans="1:1" x14ac:dyDescent="0.2">
      <c r="A10075" s="366"/>
    </row>
    <row r="10076" spans="1:1" x14ac:dyDescent="0.2">
      <c r="A10076" s="366"/>
    </row>
    <row r="10077" spans="1:1" x14ac:dyDescent="0.2">
      <c r="A10077" s="366"/>
    </row>
    <row r="10078" spans="1:1" x14ac:dyDescent="0.2">
      <c r="A10078" s="366"/>
    </row>
    <row r="10079" spans="1:1" x14ac:dyDescent="0.2">
      <c r="A10079" s="366"/>
    </row>
    <row r="10080" spans="1:1" x14ac:dyDescent="0.2">
      <c r="A10080" s="366"/>
    </row>
    <row r="10081" spans="1:1" x14ac:dyDescent="0.2">
      <c r="A10081" s="366"/>
    </row>
    <row r="10082" spans="1:1" x14ac:dyDescent="0.2">
      <c r="A10082" s="366"/>
    </row>
    <row r="10083" spans="1:1" x14ac:dyDescent="0.2">
      <c r="A10083" s="366"/>
    </row>
    <row r="10084" spans="1:1" x14ac:dyDescent="0.2">
      <c r="A10084" s="366"/>
    </row>
    <row r="10085" spans="1:1" x14ac:dyDescent="0.2">
      <c r="A10085" s="366"/>
    </row>
    <row r="10086" spans="1:1" x14ac:dyDescent="0.2">
      <c r="A10086" s="366"/>
    </row>
    <row r="10087" spans="1:1" x14ac:dyDescent="0.2">
      <c r="A10087" s="366"/>
    </row>
    <row r="10088" spans="1:1" x14ac:dyDescent="0.2">
      <c r="A10088" s="366"/>
    </row>
    <row r="10089" spans="1:1" x14ac:dyDescent="0.2">
      <c r="A10089" s="366"/>
    </row>
    <row r="10090" spans="1:1" x14ac:dyDescent="0.2">
      <c r="A10090" s="366"/>
    </row>
    <row r="10091" spans="1:1" x14ac:dyDescent="0.2">
      <c r="A10091" s="366"/>
    </row>
    <row r="10092" spans="1:1" x14ac:dyDescent="0.2">
      <c r="A10092" s="366"/>
    </row>
    <row r="10093" spans="1:1" x14ac:dyDescent="0.2">
      <c r="A10093" s="366"/>
    </row>
    <row r="10094" spans="1:1" x14ac:dyDescent="0.2">
      <c r="A10094" s="366"/>
    </row>
    <row r="10095" spans="1:1" x14ac:dyDescent="0.2">
      <c r="A10095" s="366"/>
    </row>
    <row r="10096" spans="1:1" x14ac:dyDescent="0.2">
      <c r="A10096" s="366"/>
    </row>
    <row r="10097" spans="1:1" x14ac:dyDescent="0.2">
      <c r="A10097" s="366"/>
    </row>
    <row r="10098" spans="1:1" x14ac:dyDescent="0.2">
      <c r="A10098" s="366"/>
    </row>
    <row r="10099" spans="1:1" x14ac:dyDescent="0.2">
      <c r="A10099" s="366"/>
    </row>
    <row r="10100" spans="1:1" x14ac:dyDescent="0.2">
      <c r="A10100" s="366"/>
    </row>
    <row r="10101" spans="1:1" x14ac:dyDescent="0.2">
      <c r="A10101" s="366"/>
    </row>
    <row r="10102" spans="1:1" x14ac:dyDescent="0.2">
      <c r="A10102" s="366"/>
    </row>
    <row r="10103" spans="1:1" x14ac:dyDescent="0.2">
      <c r="A10103" s="366"/>
    </row>
    <row r="10104" spans="1:1" x14ac:dyDescent="0.2">
      <c r="A10104" s="366"/>
    </row>
    <row r="10105" spans="1:1" x14ac:dyDescent="0.2">
      <c r="A10105" s="366"/>
    </row>
    <row r="10106" spans="1:1" x14ac:dyDescent="0.2">
      <c r="A10106" s="366"/>
    </row>
    <row r="10107" spans="1:1" x14ac:dyDescent="0.2">
      <c r="A10107" s="366"/>
    </row>
    <row r="10108" spans="1:1" x14ac:dyDescent="0.2">
      <c r="A10108" s="366"/>
    </row>
  </sheetData>
  <mergeCells count="8">
    <mergeCell ref="R1:R2"/>
    <mergeCell ref="S1:S2"/>
    <mergeCell ref="A1:A2"/>
    <mergeCell ref="B1:B2"/>
    <mergeCell ref="C1:C2"/>
    <mergeCell ref="D1:D2"/>
    <mergeCell ref="E1:E2"/>
    <mergeCell ref="F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zoomScaleNormal="100" zoomScaleSheetLayoutView="80" workbookViewId="0">
      <selection activeCell="D15" sqref="D15"/>
    </sheetView>
  </sheetViews>
  <sheetFormatPr defaultRowHeight="15" x14ac:dyDescent="0.25"/>
  <cols>
    <col min="1" max="1" width="9.140625" style="238"/>
    <col min="2" max="2" width="56.140625" style="238" customWidth="1"/>
    <col min="3" max="3" width="14.28515625" style="238" customWidth="1"/>
    <col min="4" max="4" width="15.5703125" style="238" customWidth="1"/>
    <col min="5" max="5" width="16.85546875" style="238" customWidth="1"/>
    <col min="6" max="6" width="17.85546875" style="238" customWidth="1"/>
    <col min="7" max="8" width="15.5703125" style="238" customWidth="1"/>
    <col min="9" max="9" width="17.140625" style="238" customWidth="1"/>
    <col min="10" max="10" width="8.140625" style="238" customWidth="1"/>
    <col min="11" max="13" width="14" style="238" customWidth="1"/>
    <col min="14" max="254" width="9.140625" style="238"/>
    <col min="255" max="255" width="56.140625" style="238" customWidth="1"/>
    <col min="256" max="257" width="17.7109375" style="238" customWidth="1"/>
    <col min="258" max="263" width="16.85546875" style="238" customWidth="1"/>
    <col min="264" max="269" width="14" style="238" customWidth="1"/>
    <col min="270" max="510" width="9.140625" style="238"/>
    <col min="511" max="511" width="56.140625" style="238" customWidth="1"/>
    <col min="512" max="513" width="17.7109375" style="238" customWidth="1"/>
    <col min="514" max="519" width="16.85546875" style="238" customWidth="1"/>
    <col min="520" max="525" width="14" style="238" customWidth="1"/>
    <col min="526" max="766" width="9.140625" style="238"/>
    <col min="767" max="767" width="56.140625" style="238" customWidth="1"/>
    <col min="768" max="769" width="17.7109375" style="238" customWidth="1"/>
    <col min="770" max="775" width="16.85546875" style="238" customWidth="1"/>
    <col min="776" max="781" width="14" style="238" customWidth="1"/>
    <col min="782" max="1022" width="9.140625" style="238"/>
    <col min="1023" max="1023" width="56.140625" style="238" customWidth="1"/>
    <col min="1024" max="1025" width="17.7109375" style="238" customWidth="1"/>
    <col min="1026" max="1031" width="16.85546875" style="238" customWidth="1"/>
    <col min="1032" max="1037" width="14" style="238" customWidth="1"/>
    <col min="1038" max="1278" width="9.140625" style="238"/>
    <col min="1279" max="1279" width="56.140625" style="238" customWidth="1"/>
    <col min="1280" max="1281" width="17.7109375" style="238" customWidth="1"/>
    <col min="1282" max="1287" width="16.85546875" style="238" customWidth="1"/>
    <col min="1288" max="1293" width="14" style="238" customWidth="1"/>
    <col min="1294" max="1534" width="9.140625" style="238"/>
    <col min="1535" max="1535" width="56.140625" style="238" customWidth="1"/>
    <col min="1536" max="1537" width="17.7109375" style="238" customWidth="1"/>
    <col min="1538" max="1543" width="16.85546875" style="238" customWidth="1"/>
    <col min="1544" max="1549" width="14" style="238" customWidth="1"/>
    <col min="1550" max="1790" width="9.140625" style="238"/>
    <col min="1791" max="1791" width="56.140625" style="238" customWidth="1"/>
    <col min="1792" max="1793" width="17.7109375" style="238" customWidth="1"/>
    <col min="1794" max="1799" width="16.85546875" style="238" customWidth="1"/>
    <col min="1800" max="1805" width="14" style="238" customWidth="1"/>
    <col min="1806" max="2046" width="9.140625" style="238"/>
    <col min="2047" max="2047" width="56.140625" style="238" customWidth="1"/>
    <col min="2048" max="2049" width="17.7109375" style="238" customWidth="1"/>
    <col min="2050" max="2055" width="16.85546875" style="238" customWidth="1"/>
    <col min="2056" max="2061" width="14" style="238" customWidth="1"/>
    <col min="2062" max="2302" width="9.140625" style="238"/>
    <col min="2303" max="2303" width="56.140625" style="238" customWidth="1"/>
    <col min="2304" max="2305" width="17.7109375" style="238" customWidth="1"/>
    <col min="2306" max="2311" width="16.85546875" style="238" customWidth="1"/>
    <col min="2312" max="2317" width="14" style="238" customWidth="1"/>
    <col min="2318" max="2558" width="9.140625" style="238"/>
    <col min="2559" max="2559" width="56.140625" style="238" customWidth="1"/>
    <col min="2560" max="2561" width="17.7109375" style="238" customWidth="1"/>
    <col min="2562" max="2567" width="16.85546875" style="238" customWidth="1"/>
    <col min="2568" max="2573" width="14" style="238" customWidth="1"/>
    <col min="2574" max="2814" width="9.140625" style="238"/>
    <col min="2815" max="2815" width="56.140625" style="238" customWidth="1"/>
    <col min="2816" max="2817" width="17.7109375" style="238" customWidth="1"/>
    <col min="2818" max="2823" width="16.85546875" style="238" customWidth="1"/>
    <col min="2824" max="2829" width="14" style="238" customWidth="1"/>
    <col min="2830" max="3070" width="9.140625" style="238"/>
    <col min="3071" max="3071" width="56.140625" style="238" customWidth="1"/>
    <col min="3072" max="3073" width="17.7109375" style="238" customWidth="1"/>
    <col min="3074" max="3079" width="16.85546875" style="238" customWidth="1"/>
    <col min="3080" max="3085" width="14" style="238" customWidth="1"/>
    <col min="3086" max="3326" width="9.140625" style="238"/>
    <col min="3327" max="3327" width="56.140625" style="238" customWidth="1"/>
    <col min="3328" max="3329" width="17.7109375" style="238" customWidth="1"/>
    <col min="3330" max="3335" width="16.85546875" style="238" customWidth="1"/>
    <col min="3336" max="3341" width="14" style="238" customWidth="1"/>
    <col min="3342" max="3582" width="9.140625" style="238"/>
    <col min="3583" max="3583" width="56.140625" style="238" customWidth="1"/>
    <col min="3584" max="3585" width="17.7109375" style="238" customWidth="1"/>
    <col min="3586" max="3591" width="16.85546875" style="238" customWidth="1"/>
    <col min="3592" max="3597" width="14" style="238" customWidth="1"/>
    <col min="3598" max="3838" width="9.140625" style="238"/>
    <col min="3839" max="3839" width="56.140625" style="238" customWidth="1"/>
    <col min="3840" max="3841" width="17.7109375" style="238" customWidth="1"/>
    <col min="3842" max="3847" width="16.85546875" style="238" customWidth="1"/>
    <col min="3848" max="3853" width="14" style="238" customWidth="1"/>
    <col min="3854" max="4094" width="9.140625" style="238"/>
    <col min="4095" max="4095" width="56.140625" style="238" customWidth="1"/>
    <col min="4096" max="4097" width="17.7109375" style="238" customWidth="1"/>
    <col min="4098" max="4103" width="16.85546875" style="238" customWidth="1"/>
    <col min="4104" max="4109" width="14" style="238" customWidth="1"/>
    <col min="4110" max="4350" width="9.140625" style="238"/>
    <col min="4351" max="4351" width="56.140625" style="238" customWidth="1"/>
    <col min="4352" max="4353" width="17.7109375" style="238" customWidth="1"/>
    <col min="4354" max="4359" width="16.85546875" style="238" customWidth="1"/>
    <col min="4360" max="4365" width="14" style="238" customWidth="1"/>
    <col min="4366" max="4606" width="9.140625" style="238"/>
    <col min="4607" max="4607" width="56.140625" style="238" customWidth="1"/>
    <col min="4608" max="4609" width="17.7109375" style="238" customWidth="1"/>
    <col min="4610" max="4615" width="16.85546875" style="238" customWidth="1"/>
    <col min="4616" max="4621" width="14" style="238" customWidth="1"/>
    <col min="4622" max="4862" width="9.140625" style="238"/>
    <col min="4863" max="4863" width="56.140625" style="238" customWidth="1"/>
    <col min="4864" max="4865" width="17.7109375" style="238" customWidth="1"/>
    <col min="4866" max="4871" width="16.85546875" style="238" customWidth="1"/>
    <col min="4872" max="4877" width="14" style="238" customWidth="1"/>
    <col min="4878" max="5118" width="9.140625" style="238"/>
    <col min="5119" max="5119" width="56.140625" style="238" customWidth="1"/>
    <col min="5120" max="5121" width="17.7109375" style="238" customWidth="1"/>
    <col min="5122" max="5127" width="16.85546875" style="238" customWidth="1"/>
    <col min="5128" max="5133" width="14" style="238" customWidth="1"/>
    <col min="5134" max="5374" width="9.140625" style="238"/>
    <col min="5375" max="5375" width="56.140625" style="238" customWidth="1"/>
    <col min="5376" max="5377" width="17.7109375" style="238" customWidth="1"/>
    <col min="5378" max="5383" width="16.85546875" style="238" customWidth="1"/>
    <col min="5384" max="5389" width="14" style="238" customWidth="1"/>
    <col min="5390" max="5630" width="9.140625" style="238"/>
    <col min="5631" max="5631" width="56.140625" style="238" customWidth="1"/>
    <col min="5632" max="5633" width="17.7109375" style="238" customWidth="1"/>
    <col min="5634" max="5639" width="16.85546875" style="238" customWidth="1"/>
    <col min="5640" max="5645" width="14" style="238" customWidth="1"/>
    <col min="5646" max="5886" width="9.140625" style="238"/>
    <col min="5887" max="5887" width="56.140625" style="238" customWidth="1"/>
    <col min="5888" max="5889" width="17.7109375" style="238" customWidth="1"/>
    <col min="5890" max="5895" width="16.85546875" style="238" customWidth="1"/>
    <col min="5896" max="5901" width="14" style="238" customWidth="1"/>
    <col min="5902" max="6142" width="9.140625" style="238"/>
    <col min="6143" max="6143" width="56.140625" style="238" customWidth="1"/>
    <col min="6144" max="6145" width="17.7109375" style="238" customWidth="1"/>
    <col min="6146" max="6151" width="16.85546875" style="238" customWidth="1"/>
    <col min="6152" max="6157" width="14" style="238" customWidth="1"/>
    <col min="6158" max="6398" width="9.140625" style="238"/>
    <col min="6399" max="6399" width="56.140625" style="238" customWidth="1"/>
    <col min="6400" max="6401" width="17.7109375" style="238" customWidth="1"/>
    <col min="6402" max="6407" width="16.85546875" style="238" customWidth="1"/>
    <col min="6408" max="6413" width="14" style="238" customWidth="1"/>
    <col min="6414" max="6654" width="9.140625" style="238"/>
    <col min="6655" max="6655" width="56.140625" style="238" customWidth="1"/>
    <col min="6656" max="6657" width="17.7109375" style="238" customWidth="1"/>
    <col min="6658" max="6663" width="16.85546875" style="238" customWidth="1"/>
    <col min="6664" max="6669" width="14" style="238" customWidth="1"/>
    <col min="6670" max="6910" width="9.140625" style="238"/>
    <col min="6911" max="6911" width="56.140625" style="238" customWidth="1"/>
    <col min="6912" max="6913" width="17.7109375" style="238" customWidth="1"/>
    <col min="6914" max="6919" width="16.85546875" style="238" customWidth="1"/>
    <col min="6920" max="6925" width="14" style="238" customWidth="1"/>
    <col min="6926" max="7166" width="9.140625" style="238"/>
    <col min="7167" max="7167" width="56.140625" style="238" customWidth="1"/>
    <col min="7168" max="7169" width="17.7109375" style="238" customWidth="1"/>
    <col min="7170" max="7175" width="16.85546875" style="238" customWidth="1"/>
    <col min="7176" max="7181" width="14" style="238" customWidth="1"/>
    <col min="7182" max="7422" width="9.140625" style="238"/>
    <col min="7423" max="7423" width="56.140625" style="238" customWidth="1"/>
    <col min="7424" max="7425" width="17.7109375" style="238" customWidth="1"/>
    <col min="7426" max="7431" width="16.85546875" style="238" customWidth="1"/>
    <col min="7432" max="7437" width="14" style="238" customWidth="1"/>
    <col min="7438" max="7678" width="9.140625" style="238"/>
    <col min="7679" max="7679" width="56.140625" style="238" customWidth="1"/>
    <col min="7680" max="7681" width="17.7109375" style="238" customWidth="1"/>
    <col min="7682" max="7687" width="16.85546875" style="238" customWidth="1"/>
    <col min="7688" max="7693" width="14" style="238" customWidth="1"/>
    <col min="7694" max="7934" width="9.140625" style="238"/>
    <col min="7935" max="7935" width="56.140625" style="238" customWidth="1"/>
    <col min="7936" max="7937" width="17.7109375" style="238" customWidth="1"/>
    <col min="7938" max="7943" width="16.85546875" style="238" customWidth="1"/>
    <col min="7944" max="7949" width="14" style="238" customWidth="1"/>
    <col min="7950" max="8190" width="9.140625" style="238"/>
    <col min="8191" max="8191" width="56.140625" style="238" customWidth="1"/>
    <col min="8192" max="8193" width="17.7109375" style="238" customWidth="1"/>
    <col min="8194" max="8199" width="16.85546875" style="238" customWidth="1"/>
    <col min="8200" max="8205" width="14" style="238" customWidth="1"/>
    <col min="8206" max="8446" width="9.140625" style="238"/>
    <col min="8447" max="8447" width="56.140625" style="238" customWidth="1"/>
    <col min="8448" max="8449" width="17.7109375" style="238" customWidth="1"/>
    <col min="8450" max="8455" width="16.85546875" style="238" customWidth="1"/>
    <col min="8456" max="8461" width="14" style="238" customWidth="1"/>
    <col min="8462" max="8702" width="9.140625" style="238"/>
    <col min="8703" max="8703" width="56.140625" style="238" customWidth="1"/>
    <col min="8704" max="8705" width="17.7109375" style="238" customWidth="1"/>
    <col min="8706" max="8711" width="16.85546875" style="238" customWidth="1"/>
    <col min="8712" max="8717" width="14" style="238" customWidth="1"/>
    <col min="8718" max="8958" width="9.140625" style="238"/>
    <col min="8959" max="8959" width="56.140625" style="238" customWidth="1"/>
    <col min="8960" max="8961" width="17.7109375" style="238" customWidth="1"/>
    <col min="8962" max="8967" width="16.85546875" style="238" customWidth="1"/>
    <col min="8968" max="8973" width="14" style="238" customWidth="1"/>
    <col min="8974" max="9214" width="9.140625" style="238"/>
    <col min="9215" max="9215" width="56.140625" style="238" customWidth="1"/>
    <col min="9216" max="9217" width="17.7109375" style="238" customWidth="1"/>
    <col min="9218" max="9223" width="16.85546875" style="238" customWidth="1"/>
    <col min="9224" max="9229" width="14" style="238" customWidth="1"/>
    <col min="9230" max="9470" width="9.140625" style="238"/>
    <col min="9471" max="9471" width="56.140625" style="238" customWidth="1"/>
    <col min="9472" max="9473" width="17.7109375" style="238" customWidth="1"/>
    <col min="9474" max="9479" width="16.85546875" style="238" customWidth="1"/>
    <col min="9480" max="9485" width="14" style="238" customWidth="1"/>
    <col min="9486" max="9726" width="9.140625" style="238"/>
    <col min="9727" max="9727" width="56.140625" style="238" customWidth="1"/>
    <col min="9728" max="9729" width="17.7109375" style="238" customWidth="1"/>
    <col min="9730" max="9735" width="16.85546875" style="238" customWidth="1"/>
    <col min="9736" max="9741" width="14" style="238" customWidth="1"/>
    <col min="9742" max="9982" width="9.140625" style="238"/>
    <col min="9983" max="9983" width="56.140625" style="238" customWidth="1"/>
    <col min="9984" max="9985" width="17.7109375" style="238" customWidth="1"/>
    <col min="9986" max="9991" width="16.85546875" style="238" customWidth="1"/>
    <col min="9992" max="9997" width="14" style="238" customWidth="1"/>
    <col min="9998" max="10238" width="9.140625" style="238"/>
    <col min="10239" max="10239" width="56.140625" style="238" customWidth="1"/>
    <col min="10240" max="10241" width="17.7109375" style="238" customWidth="1"/>
    <col min="10242" max="10247" width="16.85546875" style="238" customWidth="1"/>
    <col min="10248" max="10253" width="14" style="238" customWidth="1"/>
    <col min="10254" max="10494" width="9.140625" style="238"/>
    <col min="10495" max="10495" width="56.140625" style="238" customWidth="1"/>
    <col min="10496" max="10497" width="17.7109375" style="238" customWidth="1"/>
    <col min="10498" max="10503" width="16.85546875" style="238" customWidth="1"/>
    <col min="10504" max="10509" width="14" style="238" customWidth="1"/>
    <col min="10510" max="10750" width="9.140625" style="238"/>
    <col min="10751" max="10751" width="56.140625" style="238" customWidth="1"/>
    <col min="10752" max="10753" width="17.7109375" style="238" customWidth="1"/>
    <col min="10754" max="10759" width="16.85546875" style="238" customWidth="1"/>
    <col min="10760" max="10765" width="14" style="238" customWidth="1"/>
    <col min="10766" max="11006" width="9.140625" style="238"/>
    <col min="11007" max="11007" width="56.140625" style="238" customWidth="1"/>
    <col min="11008" max="11009" width="17.7109375" style="238" customWidth="1"/>
    <col min="11010" max="11015" width="16.85546875" style="238" customWidth="1"/>
    <col min="11016" max="11021" width="14" style="238" customWidth="1"/>
    <col min="11022" max="11262" width="9.140625" style="238"/>
    <col min="11263" max="11263" width="56.140625" style="238" customWidth="1"/>
    <col min="11264" max="11265" width="17.7109375" style="238" customWidth="1"/>
    <col min="11266" max="11271" width="16.85546875" style="238" customWidth="1"/>
    <col min="11272" max="11277" width="14" style="238" customWidth="1"/>
    <col min="11278" max="11518" width="9.140625" style="238"/>
    <col min="11519" max="11519" width="56.140625" style="238" customWidth="1"/>
    <col min="11520" max="11521" width="17.7109375" style="238" customWidth="1"/>
    <col min="11522" max="11527" width="16.85546875" style="238" customWidth="1"/>
    <col min="11528" max="11533" width="14" style="238" customWidth="1"/>
    <col min="11534" max="11774" width="9.140625" style="238"/>
    <col min="11775" max="11775" width="56.140625" style="238" customWidth="1"/>
    <col min="11776" max="11777" width="17.7109375" style="238" customWidth="1"/>
    <col min="11778" max="11783" width="16.85546875" style="238" customWidth="1"/>
    <col min="11784" max="11789" width="14" style="238" customWidth="1"/>
    <col min="11790" max="12030" width="9.140625" style="238"/>
    <col min="12031" max="12031" width="56.140625" style="238" customWidth="1"/>
    <col min="12032" max="12033" width="17.7109375" style="238" customWidth="1"/>
    <col min="12034" max="12039" width="16.85546875" style="238" customWidth="1"/>
    <col min="12040" max="12045" width="14" style="238" customWidth="1"/>
    <col min="12046" max="12286" width="9.140625" style="238"/>
    <col min="12287" max="12287" width="56.140625" style="238" customWidth="1"/>
    <col min="12288" max="12289" width="17.7109375" style="238" customWidth="1"/>
    <col min="12290" max="12295" width="16.85546875" style="238" customWidth="1"/>
    <col min="12296" max="12301" width="14" style="238" customWidth="1"/>
    <col min="12302" max="12542" width="9.140625" style="238"/>
    <col min="12543" max="12543" width="56.140625" style="238" customWidth="1"/>
    <col min="12544" max="12545" width="17.7109375" style="238" customWidth="1"/>
    <col min="12546" max="12551" width="16.85546875" style="238" customWidth="1"/>
    <col min="12552" max="12557" width="14" style="238" customWidth="1"/>
    <col min="12558" max="12798" width="9.140625" style="238"/>
    <col min="12799" max="12799" width="56.140625" style="238" customWidth="1"/>
    <col min="12800" max="12801" width="17.7109375" style="238" customWidth="1"/>
    <col min="12802" max="12807" width="16.85546875" style="238" customWidth="1"/>
    <col min="12808" max="12813" width="14" style="238" customWidth="1"/>
    <col min="12814" max="13054" width="9.140625" style="238"/>
    <col min="13055" max="13055" width="56.140625" style="238" customWidth="1"/>
    <col min="13056" max="13057" width="17.7109375" style="238" customWidth="1"/>
    <col min="13058" max="13063" width="16.85546875" style="238" customWidth="1"/>
    <col min="13064" max="13069" width="14" style="238" customWidth="1"/>
    <col min="13070" max="13310" width="9.140625" style="238"/>
    <col min="13311" max="13311" width="56.140625" style="238" customWidth="1"/>
    <col min="13312" max="13313" width="17.7109375" style="238" customWidth="1"/>
    <col min="13314" max="13319" width="16.85546875" style="238" customWidth="1"/>
    <col min="13320" max="13325" width="14" style="238" customWidth="1"/>
    <col min="13326" max="13566" width="9.140625" style="238"/>
    <col min="13567" max="13567" width="56.140625" style="238" customWidth="1"/>
    <col min="13568" max="13569" width="17.7109375" style="238" customWidth="1"/>
    <col min="13570" max="13575" width="16.85546875" style="238" customWidth="1"/>
    <col min="13576" max="13581" width="14" style="238" customWidth="1"/>
    <col min="13582" max="13822" width="9.140625" style="238"/>
    <col min="13823" max="13823" width="56.140625" style="238" customWidth="1"/>
    <col min="13824" max="13825" width="17.7109375" style="238" customWidth="1"/>
    <col min="13826" max="13831" width="16.85546875" style="238" customWidth="1"/>
    <col min="13832" max="13837" width="14" style="238" customWidth="1"/>
    <col min="13838" max="14078" width="9.140625" style="238"/>
    <col min="14079" max="14079" width="56.140625" style="238" customWidth="1"/>
    <col min="14080" max="14081" width="17.7109375" style="238" customWidth="1"/>
    <col min="14082" max="14087" width="16.85546875" style="238" customWidth="1"/>
    <col min="14088" max="14093" width="14" style="238" customWidth="1"/>
    <col min="14094" max="14334" width="9.140625" style="238"/>
    <col min="14335" max="14335" width="56.140625" style="238" customWidth="1"/>
    <col min="14336" max="14337" width="17.7109375" style="238" customWidth="1"/>
    <col min="14338" max="14343" width="16.85546875" style="238" customWidth="1"/>
    <col min="14344" max="14349" width="14" style="238" customWidth="1"/>
    <col min="14350" max="14590" width="9.140625" style="238"/>
    <col min="14591" max="14591" width="56.140625" style="238" customWidth="1"/>
    <col min="14592" max="14593" width="17.7109375" style="238" customWidth="1"/>
    <col min="14594" max="14599" width="16.85546875" style="238" customWidth="1"/>
    <col min="14600" max="14605" width="14" style="238" customWidth="1"/>
    <col min="14606" max="14846" width="9.140625" style="238"/>
    <col min="14847" max="14847" width="56.140625" style="238" customWidth="1"/>
    <col min="14848" max="14849" width="17.7109375" style="238" customWidth="1"/>
    <col min="14850" max="14855" width="16.85546875" style="238" customWidth="1"/>
    <col min="14856" max="14861" width="14" style="238" customWidth="1"/>
    <col min="14862" max="15102" width="9.140625" style="238"/>
    <col min="15103" max="15103" width="56.140625" style="238" customWidth="1"/>
    <col min="15104" max="15105" width="17.7109375" style="238" customWidth="1"/>
    <col min="15106" max="15111" width="16.85546875" style="238" customWidth="1"/>
    <col min="15112" max="15117" width="14" style="238" customWidth="1"/>
    <col min="15118" max="15358" width="9.140625" style="238"/>
    <col min="15359" max="15359" width="56.140625" style="238" customWidth="1"/>
    <col min="15360" max="15361" width="17.7109375" style="238" customWidth="1"/>
    <col min="15362" max="15367" width="16.85546875" style="238" customWidth="1"/>
    <col min="15368" max="15373" width="14" style="238" customWidth="1"/>
    <col min="15374" max="15614" width="9.140625" style="238"/>
    <col min="15615" max="15615" width="56.140625" style="238" customWidth="1"/>
    <col min="15616" max="15617" width="17.7109375" style="238" customWidth="1"/>
    <col min="15618" max="15623" width="16.85546875" style="238" customWidth="1"/>
    <col min="15624" max="15629" width="14" style="238" customWidth="1"/>
    <col min="15630" max="15870" width="9.140625" style="238"/>
    <col min="15871" max="15871" width="56.140625" style="238" customWidth="1"/>
    <col min="15872" max="15873" width="17.7109375" style="238" customWidth="1"/>
    <col min="15874" max="15879" width="16.85546875" style="238" customWidth="1"/>
    <col min="15880" max="15885" width="14" style="238" customWidth="1"/>
    <col min="15886" max="16126" width="9.140625" style="238"/>
    <col min="16127" max="16127" width="56.140625" style="238" customWidth="1"/>
    <col min="16128" max="16129" width="17.7109375" style="238" customWidth="1"/>
    <col min="16130" max="16135" width="16.85546875" style="238" customWidth="1"/>
    <col min="16136" max="16141" width="14" style="238" customWidth="1"/>
    <col min="16142" max="16384" width="9.140625" style="238"/>
  </cols>
  <sheetData>
    <row r="1" spans="2:10" x14ac:dyDescent="0.25">
      <c r="E1" s="239"/>
    </row>
    <row r="2" spans="2:10" x14ac:dyDescent="0.25">
      <c r="B2" s="240" t="s">
        <v>423</v>
      </c>
      <c r="C2" s="285" t="s">
        <v>424</v>
      </c>
      <c r="D2" s="285"/>
      <c r="E2" s="285"/>
      <c r="F2" s="285"/>
      <c r="G2" s="285"/>
      <c r="H2" s="285"/>
      <c r="I2" s="285"/>
      <c r="J2" s="285"/>
    </row>
    <row r="3" spans="2:10" x14ac:dyDescent="0.25">
      <c r="B3" s="241" t="s">
        <v>0</v>
      </c>
      <c r="C3" s="286" t="s">
        <v>425</v>
      </c>
      <c r="D3" s="286"/>
      <c r="E3" s="286"/>
      <c r="F3" s="286"/>
      <c r="G3" s="286"/>
      <c r="H3" s="286"/>
      <c r="I3" s="286"/>
    </row>
    <row r="4" spans="2:10" x14ac:dyDescent="0.25">
      <c r="E4" s="242"/>
      <c r="J4" s="238" t="s">
        <v>259</v>
      </c>
    </row>
    <row r="5" spans="2:10" ht="15.75" thickBot="1" x14ac:dyDescent="0.3"/>
    <row r="6" spans="2:10" ht="16.5" thickBot="1" x14ac:dyDescent="0.3">
      <c r="B6" s="287" t="s">
        <v>426</v>
      </c>
      <c r="C6" s="288"/>
      <c r="D6" s="288"/>
      <c r="E6" s="288"/>
      <c r="F6" s="288"/>
      <c r="G6" s="288"/>
      <c r="H6" s="288"/>
      <c r="I6" s="288"/>
    </row>
    <row r="7" spans="2:10" ht="16.5" customHeight="1" thickBot="1" x14ac:dyDescent="0.3">
      <c r="B7" s="281" t="s">
        <v>2</v>
      </c>
      <c r="C7" s="289" t="s">
        <v>24</v>
      </c>
      <c r="D7" s="290"/>
      <c r="E7" s="291"/>
      <c r="F7" s="287" t="s">
        <v>427</v>
      </c>
      <c r="G7" s="288"/>
      <c r="H7" s="292"/>
      <c r="I7" s="293" t="s">
        <v>428</v>
      </c>
    </row>
    <row r="8" spans="2:10" ht="24.75" thickBot="1" x14ac:dyDescent="0.3">
      <c r="B8" s="282"/>
      <c r="C8" s="243" t="s">
        <v>429</v>
      </c>
      <c r="D8" s="243" t="s">
        <v>430</v>
      </c>
      <c r="E8" s="243" t="s">
        <v>265</v>
      </c>
      <c r="F8" s="243" t="s">
        <v>429</v>
      </c>
      <c r="G8" s="243" t="s">
        <v>430</v>
      </c>
      <c r="H8" s="243" t="s">
        <v>265</v>
      </c>
      <c r="I8" s="294"/>
    </row>
    <row r="9" spans="2:10" ht="16.5" thickBot="1" x14ac:dyDescent="0.3">
      <c r="B9" s="244" t="s">
        <v>5</v>
      </c>
      <c r="C9" s="245"/>
      <c r="D9" s="246"/>
      <c r="E9" s="247">
        <f t="shared" ref="E9:E20" si="0">C9+D9</f>
        <v>0</v>
      </c>
      <c r="F9" s="244"/>
      <c r="G9" s="245"/>
      <c r="H9" s="245">
        <f t="shared" ref="H9:H20" si="1">F9+G9</f>
        <v>0</v>
      </c>
      <c r="I9" s="245"/>
    </row>
    <row r="10" spans="2:10" ht="16.5" thickBot="1" x14ac:dyDescent="0.3">
      <c r="B10" s="244" t="s">
        <v>6</v>
      </c>
      <c r="C10" s="245"/>
      <c r="D10" s="246"/>
      <c r="E10" s="247">
        <f t="shared" si="0"/>
        <v>0</v>
      </c>
      <c r="F10" s="244"/>
      <c r="G10" s="245"/>
      <c r="H10" s="245">
        <f t="shared" si="1"/>
        <v>0</v>
      </c>
      <c r="I10" s="245"/>
    </row>
    <row r="11" spans="2:10" ht="16.5" thickBot="1" x14ac:dyDescent="0.3">
      <c r="B11" s="244" t="s">
        <v>7</v>
      </c>
      <c r="C11" s="245"/>
      <c r="D11" s="246"/>
      <c r="E11" s="247">
        <f t="shared" si="0"/>
        <v>0</v>
      </c>
      <c r="F11" s="244"/>
      <c r="G11" s="245"/>
      <c r="H11" s="245">
        <f t="shared" si="1"/>
        <v>0</v>
      </c>
      <c r="I11" s="245"/>
    </row>
    <row r="12" spans="2:10" ht="16.5" thickBot="1" x14ac:dyDescent="0.3">
      <c r="B12" s="244" t="s">
        <v>8</v>
      </c>
      <c r="C12" s="245"/>
      <c r="D12" s="246"/>
      <c r="E12" s="247">
        <f t="shared" si="0"/>
        <v>0</v>
      </c>
      <c r="F12" s="244"/>
      <c r="G12" s="245"/>
      <c r="H12" s="245">
        <f t="shared" si="1"/>
        <v>0</v>
      </c>
      <c r="I12" s="245"/>
    </row>
    <row r="13" spans="2:10" ht="16.5" thickBot="1" x14ac:dyDescent="0.3">
      <c r="B13" s="244" t="s">
        <v>9</v>
      </c>
      <c r="C13" s="245"/>
      <c r="D13" s="246"/>
      <c r="E13" s="247">
        <f t="shared" si="0"/>
        <v>0</v>
      </c>
      <c r="F13" s="244"/>
      <c r="G13" s="245"/>
      <c r="H13" s="245">
        <f t="shared" si="1"/>
        <v>0</v>
      </c>
      <c r="I13" s="245"/>
    </row>
    <row r="14" spans="2:10" ht="16.5" thickBot="1" x14ac:dyDescent="0.3">
      <c r="B14" s="244" t="s">
        <v>10</v>
      </c>
      <c r="C14" s="245"/>
      <c r="D14" s="246"/>
      <c r="E14" s="247">
        <f t="shared" si="0"/>
        <v>0</v>
      </c>
      <c r="F14" s="244"/>
      <c r="G14" s="245"/>
      <c r="H14" s="245">
        <f t="shared" si="1"/>
        <v>0</v>
      </c>
      <c r="I14" s="245"/>
    </row>
    <row r="15" spans="2:10" ht="16.5" thickBot="1" x14ac:dyDescent="0.3">
      <c r="B15" s="244" t="s">
        <v>11</v>
      </c>
      <c r="C15" s="245"/>
      <c r="D15" s="246"/>
      <c r="E15" s="247">
        <f t="shared" si="0"/>
        <v>0</v>
      </c>
      <c r="F15" s="244"/>
      <c r="G15" s="245"/>
      <c r="H15" s="245">
        <f t="shared" si="1"/>
        <v>0</v>
      </c>
      <c r="I15" s="245"/>
    </row>
    <row r="16" spans="2:10" ht="16.5" thickBot="1" x14ac:dyDescent="0.3">
      <c r="B16" s="244" t="s">
        <v>12</v>
      </c>
      <c r="C16" s="245"/>
      <c r="D16" s="246"/>
      <c r="E16" s="247">
        <f t="shared" si="0"/>
        <v>0</v>
      </c>
      <c r="F16" s="244"/>
      <c r="G16" s="245"/>
      <c r="H16" s="245">
        <f t="shared" si="1"/>
        <v>0</v>
      </c>
      <c r="I16" s="245"/>
    </row>
    <row r="17" spans="2:9" ht="16.5" thickBot="1" x14ac:dyDescent="0.3">
      <c r="B17" s="244" t="s">
        <v>13</v>
      </c>
      <c r="C17" s="245"/>
      <c r="D17" s="246"/>
      <c r="E17" s="247">
        <f t="shared" si="0"/>
        <v>0</v>
      </c>
      <c r="F17" s="244"/>
      <c r="G17" s="245"/>
      <c r="H17" s="245">
        <f t="shared" si="1"/>
        <v>0</v>
      </c>
      <c r="I17" s="245"/>
    </row>
    <row r="18" spans="2:9" ht="16.5" thickBot="1" x14ac:dyDescent="0.3">
      <c r="B18" s="244" t="s">
        <v>14</v>
      </c>
      <c r="C18" s="245"/>
      <c r="D18" s="246"/>
      <c r="E18" s="247">
        <f t="shared" si="0"/>
        <v>0</v>
      </c>
      <c r="F18" s="244"/>
      <c r="G18" s="245"/>
      <c r="H18" s="245">
        <f t="shared" si="1"/>
        <v>0</v>
      </c>
      <c r="I18" s="245"/>
    </row>
    <row r="19" spans="2:9" ht="16.5" thickBot="1" x14ac:dyDescent="0.3">
      <c r="B19" s="244" t="s">
        <v>15</v>
      </c>
      <c r="C19" s="245"/>
      <c r="D19" s="246"/>
      <c r="E19" s="247">
        <f t="shared" si="0"/>
        <v>0</v>
      </c>
      <c r="F19" s="244"/>
      <c r="G19" s="245"/>
      <c r="H19" s="245">
        <f t="shared" si="1"/>
        <v>0</v>
      </c>
      <c r="I19" s="245"/>
    </row>
    <row r="20" spans="2:9" ht="16.5" thickBot="1" x14ac:dyDescent="0.3">
      <c r="B20" s="244" t="s">
        <v>16</v>
      </c>
      <c r="C20" s="245"/>
      <c r="D20" s="246"/>
      <c r="E20" s="247">
        <f t="shared" si="0"/>
        <v>0</v>
      </c>
      <c r="F20" s="244"/>
      <c r="G20" s="245"/>
      <c r="H20" s="245">
        <f t="shared" si="1"/>
        <v>0</v>
      </c>
      <c r="I20" s="245"/>
    </row>
    <row r="21" spans="2:9" ht="16.5" thickBot="1" x14ac:dyDescent="0.3">
      <c r="B21" s="248" t="s">
        <v>17</v>
      </c>
      <c r="C21" s="249">
        <f>SUM(C9:C20)</f>
        <v>0</v>
      </c>
      <c r="D21" s="249">
        <f t="shared" ref="D21:E21" si="2">SUM(D9:D20)</f>
        <v>0</v>
      </c>
      <c r="E21" s="249">
        <f t="shared" si="2"/>
        <v>0</v>
      </c>
      <c r="F21" s="245">
        <f>SUM(F9:F20)</f>
        <v>0</v>
      </c>
      <c r="G21" s="245">
        <f>SUM(G9:G20)</f>
        <v>0</v>
      </c>
      <c r="H21" s="245">
        <f>SUM(H9:H20)</f>
        <v>0</v>
      </c>
      <c r="I21" s="245">
        <f>SUM(I9:I20)</f>
        <v>0</v>
      </c>
    </row>
    <row r="26" spans="2:9" ht="15.75" thickBot="1" x14ac:dyDescent="0.3"/>
    <row r="27" spans="2:9" ht="15.75" thickBot="1" x14ac:dyDescent="0.3">
      <c r="C27" s="278" t="s">
        <v>431</v>
      </c>
      <c r="D27" s="279"/>
      <c r="E27" s="279"/>
      <c r="F27" s="280"/>
    </row>
    <row r="28" spans="2:9" ht="36" customHeight="1" x14ac:dyDescent="0.25">
      <c r="C28" s="281" t="s">
        <v>2</v>
      </c>
      <c r="D28" s="283" t="s">
        <v>24</v>
      </c>
      <c r="E28" s="283" t="s">
        <v>427</v>
      </c>
      <c r="F28" s="283" t="s">
        <v>428</v>
      </c>
    </row>
    <row r="29" spans="2:9" s="250" customFormat="1" ht="25.5" customHeight="1" thickBot="1" x14ac:dyDescent="0.3">
      <c r="C29" s="282"/>
      <c r="D29" s="284"/>
      <c r="E29" s="284"/>
      <c r="F29" s="284"/>
    </row>
    <row r="30" spans="2:9" ht="16.5" thickBot="1" x14ac:dyDescent="0.3">
      <c r="C30" s="244" t="s">
        <v>5</v>
      </c>
      <c r="D30" s="246"/>
      <c r="E30" s="251"/>
      <c r="F30" s="246"/>
    </row>
    <row r="31" spans="2:9" ht="16.5" thickBot="1" x14ac:dyDescent="0.3">
      <c r="C31" s="244" t="s">
        <v>6</v>
      </c>
      <c r="D31" s="246"/>
      <c r="E31" s="251"/>
      <c r="F31" s="246"/>
    </row>
    <row r="32" spans="2:9" ht="16.5" thickBot="1" x14ac:dyDescent="0.3">
      <c r="C32" s="244" t="s">
        <v>7</v>
      </c>
      <c r="D32" s="246"/>
      <c r="E32" s="251"/>
      <c r="F32" s="246"/>
    </row>
    <row r="33" spans="3:6" ht="16.5" thickBot="1" x14ac:dyDescent="0.3">
      <c r="C33" s="244" t="s">
        <v>8</v>
      </c>
      <c r="D33" s="246"/>
      <c r="E33" s="251"/>
      <c r="F33" s="246"/>
    </row>
    <row r="34" spans="3:6" ht="16.5" thickBot="1" x14ac:dyDescent="0.3">
      <c r="C34" s="244" t="s">
        <v>9</v>
      </c>
      <c r="D34" s="246"/>
      <c r="E34" s="251"/>
      <c r="F34" s="246"/>
    </row>
    <row r="35" spans="3:6" ht="16.5" thickBot="1" x14ac:dyDescent="0.3">
      <c r="C35" s="244" t="s">
        <v>10</v>
      </c>
      <c r="D35" s="246"/>
      <c r="E35" s="251"/>
      <c r="F35" s="246"/>
    </row>
    <row r="36" spans="3:6" ht="16.5" thickBot="1" x14ac:dyDescent="0.3">
      <c r="C36" s="244" t="s">
        <v>11</v>
      </c>
      <c r="D36" s="246"/>
      <c r="E36" s="251"/>
      <c r="F36" s="246"/>
    </row>
    <row r="37" spans="3:6" ht="16.5" thickBot="1" x14ac:dyDescent="0.3">
      <c r="C37" s="244" t="s">
        <v>12</v>
      </c>
      <c r="D37" s="246"/>
      <c r="E37" s="251"/>
      <c r="F37" s="246"/>
    </row>
    <row r="38" spans="3:6" ht="16.5" thickBot="1" x14ac:dyDescent="0.3">
      <c r="C38" s="244" t="s">
        <v>13</v>
      </c>
      <c r="D38" s="246"/>
      <c r="E38" s="251"/>
      <c r="F38" s="246"/>
    </row>
    <row r="39" spans="3:6" ht="16.5" thickBot="1" x14ac:dyDescent="0.3">
      <c r="C39" s="244" t="s">
        <v>14</v>
      </c>
      <c r="D39" s="246"/>
      <c r="E39" s="251"/>
      <c r="F39" s="246"/>
    </row>
    <row r="40" spans="3:6" ht="16.5" thickBot="1" x14ac:dyDescent="0.3">
      <c r="C40" s="244" t="s">
        <v>15</v>
      </c>
      <c r="D40" s="246"/>
      <c r="E40" s="251"/>
      <c r="F40" s="246"/>
    </row>
    <row r="41" spans="3:6" ht="16.5" thickBot="1" x14ac:dyDescent="0.3">
      <c r="C41" s="244" t="s">
        <v>16</v>
      </c>
      <c r="D41" s="246"/>
      <c r="E41" s="251"/>
      <c r="F41" s="246"/>
    </row>
    <row r="42" spans="3:6" ht="32.25" thickBot="1" x14ac:dyDescent="0.3">
      <c r="C42" s="248" t="s">
        <v>17</v>
      </c>
      <c r="D42" s="249">
        <f t="shared" ref="D42" si="3">SUM(D30:D41)</f>
        <v>0</v>
      </c>
      <c r="E42" s="251">
        <f>SUM(E30:E41)</f>
        <v>0</v>
      </c>
      <c r="F42" s="246"/>
    </row>
  </sheetData>
  <pageMargins left="0.25" right="0.25" top="0.75" bottom="0.75" header="0.3" footer="0.3"/>
  <pageSetup paperSize="9" scale="68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დანართი 1</vt:lpstr>
      <vt:lpstr>დანართი 2 ცხრილი-1</vt:lpstr>
      <vt:lpstr>დანართი 2 ცხრილი-2</vt:lpstr>
      <vt:lpstr>დანართი 2 ცხრილი-3</vt:lpstr>
      <vt:lpstr>დანართი 3</vt:lpstr>
      <vt:lpstr>დანართი 4 ცხრილი 1</vt:lpstr>
      <vt:lpstr>დანართი 5</vt:lpstr>
      <vt:lpstr>Sheet1</vt:lpstr>
      <vt:lpstr>დანართი 6</vt:lpstr>
      <vt:lpstr>Sheet2</vt:lpstr>
      <vt:lpstr>Sheet3</vt:lpstr>
      <vt:lpstr>Sheet4</vt:lpstr>
      <vt:lpstr>'დანართი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2019-03-26T12:10:54Z</dcterms:modified>
</cp:coreProperties>
</file>