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ome Chakvetadze\Desktop\"/>
    </mc:Choice>
  </mc:AlternateContent>
  <bookViews>
    <workbookView xWindow="0" yWindow="0" windowWidth="16512" windowHeight="8712"/>
  </bookViews>
  <sheets>
    <sheet name=" COVID STATISTICS" sheetId="4" r:id="rId1"/>
    <sheet name="Sheet1" sheetId="7" r:id="rId2"/>
    <sheet name="Audit" sheetId="6" r:id="rId3"/>
  </sheets>
  <definedNames>
    <definedName name="_xlnm._FilterDatabase" localSheetId="0" hidden="1">' COVID STATISTICS'!$A$4:$A$4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4" l="1"/>
  <c r="E41" i="4"/>
  <c r="D37" i="4"/>
  <c r="M37" i="4" l="1"/>
  <c r="M38" i="4" s="1"/>
  <c r="L36" i="4"/>
  <c r="L35" i="4"/>
  <c r="J36" i="4"/>
  <c r="J35" i="4"/>
  <c r="I37" i="4"/>
  <c r="E37" i="4"/>
  <c r="N37" i="4"/>
  <c r="D36" i="4"/>
  <c r="N36" i="4" s="1"/>
  <c r="D35" i="4"/>
  <c r="N35" i="4" s="1"/>
  <c r="L37" i="4"/>
  <c r="F38" i="4"/>
  <c r="G38" i="4"/>
  <c r="H38" i="4"/>
  <c r="K38" i="4"/>
  <c r="C38" i="4"/>
  <c r="B38" i="4"/>
  <c r="O37" i="4" l="1"/>
  <c r="O38" i="4" s="1"/>
  <c r="N38" i="4"/>
  <c r="D38" i="4"/>
  <c r="C41" i="4"/>
  <c r="E38" i="4"/>
  <c r="L38" i="4"/>
  <c r="I38" i="4"/>
  <c r="N29" i="4"/>
  <c r="M29" i="4"/>
  <c r="L29" i="4"/>
  <c r="J29" i="4"/>
  <c r="I29" i="4"/>
  <c r="H29" i="4"/>
  <c r="I7" i="4"/>
  <c r="G29" i="4"/>
  <c r="F29" i="4"/>
  <c r="E29" i="4"/>
  <c r="D29" i="4"/>
  <c r="C29" i="4"/>
  <c r="B29" i="4"/>
  <c r="K29" i="4" l="1"/>
  <c r="I10" i="4" l="1"/>
  <c r="I13" i="4"/>
  <c r="H13" i="4"/>
  <c r="I12" i="4"/>
  <c r="C42" i="4" s="1"/>
  <c r="C43" i="4" s="1"/>
  <c r="H12" i="4"/>
  <c r="I11" i="4"/>
  <c r="H11" i="4"/>
  <c r="H10" i="4"/>
  <c r="H9" i="4"/>
  <c r="I9" i="4"/>
  <c r="I8" i="4"/>
  <c r="H8" i="4"/>
  <c r="H7" i="4"/>
  <c r="I6" i="4"/>
  <c r="K12" i="4" l="1"/>
  <c r="K13" i="4"/>
  <c r="J37" i="4" s="1"/>
  <c r="J38" i="4" s="1"/>
  <c r="M11" i="6" l="1"/>
  <c r="J11" i="6"/>
  <c r="H11" i="6"/>
  <c r="G11" i="6"/>
  <c r="F11" i="6"/>
  <c r="D11" i="6"/>
  <c r="C11" i="6"/>
  <c r="B11" i="6"/>
  <c r="K9" i="6"/>
  <c r="K8" i="6"/>
  <c r="K7" i="6"/>
  <c r="N6" i="6"/>
  <c r="K6" i="6"/>
  <c r="K11" i="6" s="1"/>
  <c r="M5" i="6"/>
  <c r="N5" i="6" s="1"/>
  <c r="K5" i="6"/>
  <c r="N4" i="6"/>
  <c r="K4" i="6"/>
  <c r="N3" i="6"/>
  <c r="K3" i="6"/>
  <c r="N11" i="6" l="1"/>
  <c r="F14" i="4" l="1"/>
  <c r="E14" i="4"/>
  <c r="C14" i="4"/>
  <c r="B14" i="4"/>
  <c r="D14" i="4"/>
  <c r="G14" i="4"/>
  <c r="K9" i="4" l="1"/>
  <c r="K7" i="4"/>
  <c r="K6" i="4"/>
  <c r="I14" i="4" l="1"/>
  <c r="K8" i="4"/>
  <c r="K14" i="4" s="1"/>
  <c r="J14" i="4"/>
</calcChain>
</file>

<file path=xl/sharedStrings.xml><?xml version="1.0" encoding="utf-8"?>
<sst xmlns="http://schemas.openxmlformats.org/spreadsheetml/2006/main" count="144" uniqueCount="64">
  <si>
    <t>Families</t>
  </si>
  <si>
    <t>Month</t>
  </si>
  <si>
    <t>August</t>
  </si>
  <si>
    <t>September</t>
  </si>
  <si>
    <t>Persons</t>
  </si>
  <si>
    <t>Amount</t>
  </si>
  <si>
    <t>May</t>
  </si>
  <si>
    <t>June</t>
  </si>
  <si>
    <t>July</t>
  </si>
  <si>
    <t>October</t>
  </si>
  <si>
    <t>Individuals</t>
  </si>
  <si>
    <t xml:space="preserve"> </t>
  </si>
  <si>
    <t xml:space="preserve">1. Households with score 65,000 to 100,001 </t>
  </si>
  <si>
    <t xml:space="preserve">2. Households with a rating score of 100,001 or less with 3 children or more, up to 16 years old </t>
  </si>
  <si>
    <t>3. Unemployment benefit
(200 GEL for 6 months)</t>
  </si>
  <si>
    <t>4. Self - employed (one-off benefit 300 GEL)</t>
  </si>
  <si>
    <t>Audit</t>
  </si>
  <si>
    <t>November</t>
  </si>
  <si>
    <t>December</t>
  </si>
  <si>
    <t>№ 01-11191; 26.10.2020</t>
  </si>
  <si>
    <t>№ 01-10429; 6.10.2020</t>
  </si>
  <si>
    <t>№ 01-10760; 13.10.2020</t>
  </si>
  <si>
    <t>№ 01-11857; 24.11.2020</t>
  </si>
  <si>
    <t>№ 01-11857; 24.11.2020 - № 01-11268; 28.10.2020</t>
  </si>
  <si>
    <t>№ 01-12514; 28.10.2020</t>
  </si>
  <si>
    <t>№ 01-11857; 24.11.2020 - № 01-12514; 28.10.2020</t>
  </si>
  <si>
    <t>AIIB</t>
  </si>
  <si>
    <t>WB</t>
  </si>
  <si>
    <t>KFW</t>
  </si>
  <si>
    <t>Loan</t>
  </si>
  <si>
    <t>Grant</t>
  </si>
  <si>
    <t>Donor</t>
  </si>
  <si>
    <t>Disbursed EUR</t>
  </si>
  <si>
    <t>Disbursed GEL</t>
  </si>
  <si>
    <t>To be submitted GEL</t>
  </si>
  <si>
    <t>To be submitted</t>
  </si>
  <si>
    <t>To be disbursed</t>
  </si>
  <si>
    <t>N/A</t>
  </si>
  <si>
    <t>WA</t>
  </si>
  <si>
    <t>Resources for Component 2</t>
  </si>
  <si>
    <t>Pending</t>
  </si>
  <si>
    <t>SSA</t>
  </si>
  <si>
    <t>SESA</t>
  </si>
  <si>
    <t xml:space="preserve">2. Households with score 65,000 to 100,001 </t>
  </si>
  <si>
    <t xml:space="preserve">3. Households with a rating score of 100,001 or less with 3 children or more, up to 16 years old </t>
  </si>
  <si>
    <t>1. Households with score 0 to 65,000</t>
  </si>
  <si>
    <t>Amount EUR</t>
  </si>
  <si>
    <t>Amount GEL</t>
  </si>
  <si>
    <t>exchange rate</t>
  </si>
  <si>
    <t>Total</t>
  </si>
  <si>
    <t>To be disbursed/Resources EUR</t>
  </si>
  <si>
    <t>To be disbursed/Resources GEL</t>
  </si>
  <si>
    <t>WB/AIIB</t>
  </si>
  <si>
    <t>Component 2 (WB/AIIB)</t>
  </si>
  <si>
    <t>Resource 
for 2021</t>
  </si>
  <si>
    <t>Resource in 2020</t>
  </si>
  <si>
    <t>To be requested in 2021 (amount 2020)</t>
  </si>
  <si>
    <t>January</t>
  </si>
  <si>
    <t>February</t>
  </si>
  <si>
    <t>March</t>
  </si>
  <si>
    <t>April</t>
  </si>
  <si>
    <t>KfW</t>
  </si>
  <si>
    <t>WB/AIIB/KfW</t>
  </si>
  <si>
    <t>Resource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</si>
</sst>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[$EUR]\ #,##0"/>
    <numFmt numFmtId="166" formatCode="[$GEL]\ #,##0_);\([$GEL]\ #,##0\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</cellStyleXfs>
  <cellXfs count="181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4" fillId="0" borderId="0" xfId="0" applyNumberFormat="1" applyFont="1"/>
    <xf numFmtId="164" fontId="0" fillId="0" borderId="0" xfId="0" applyNumberFormat="1"/>
    <xf numFmtId="3" fontId="6" fillId="0" borderId="0" xfId="0" applyNumberFormat="1" applyFont="1"/>
    <xf numFmtId="43" fontId="6" fillId="0" borderId="0" xfId="0" applyNumberFormat="1" applyFont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/>
    <xf numFmtId="164" fontId="1" fillId="0" borderId="2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/>
    <xf numFmtId="164" fontId="6" fillId="0" borderId="0" xfId="0" applyNumberFormat="1" applyFont="1"/>
    <xf numFmtId="3" fontId="8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/>
    <xf numFmtId="164" fontId="10" fillId="0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horizontal="right" vertical="center"/>
    </xf>
    <xf numFmtId="164" fontId="7" fillId="7" borderId="2" xfId="1" applyNumberFormat="1" applyFont="1" applyFill="1" applyBorder="1" applyAlignment="1">
      <alignment horizontal="right" vertical="center"/>
    </xf>
    <xf numFmtId="164" fontId="7" fillId="7" borderId="1" xfId="1" applyNumberFormat="1" applyFont="1" applyFill="1" applyBorder="1" applyAlignment="1">
      <alignment horizontal="right" vertical="center"/>
    </xf>
    <xf numFmtId="164" fontId="10" fillId="7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right" vertical="center"/>
    </xf>
    <xf numFmtId="164" fontId="10" fillId="0" borderId="7" xfId="1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/>
    </xf>
    <xf numFmtId="43" fontId="6" fillId="6" borderId="0" xfId="0" applyNumberFormat="1" applyFont="1" applyFill="1"/>
    <xf numFmtId="164" fontId="0" fillId="6" borderId="0" xfId="0" applyNumberFormat="1" applyFill="1"/>
    <xf numFmtId="0" fontId="10" fillId="0" borderId="0" xfId="0" applyFont="1"/>
    <xf numFmtId="3" fontId="10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vertical="center"/>
    </xf>
    <xf numFmtId="164" fontId="0" fillId="0" borderId="0" xfId="1" applyNumberFormat="1" applyFont="1"/>
    <xf numFmtId="3" fontId="0" fillId="0" borderId="0" xfId="0" applyNumberFormat="1"/>
    <xf numFmtId="164" fontId="1" fillId="0" borderId="0" xfId="1" applyNumberFormat="1" applyFont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4" fontId="13" fillId="0" borderId="0" xfId="0" applyNumberFormat="1" applyFont="1" applyBorder="1"/>
    <xf numFmtId="43" fontId="13" fillId="0" borderId="0" xfId="0" applyNumberFormat="1" applyFont="1" applyFill="1" applyBorder="1"/>
    <xf numFmtId="3" fontId="15" fillId="9" borderId="11" xfId="0" applyNumberFormat="1" applyFont="1" applyFill="1" applyBorder="1" applyAlignment="1">
      <alignment horizontal="center"/>
    </xf>
    <xf numFmtId="3" fontId="15" fillId="8" borderId="11" xfId="0" applyNumberFormat="1" applyFont="1" applyFill="1" applyBorder="1" applyAlignment="1">
      <alignment horizontal="center"/>
    </xf>
    <xf numFmtId="3" fontId="15" fillId="10" borderId="12" xfId="0" applyNumberFormat="1" applyFont="1" applyFill="1" applyBorder="1" applyAlignment="1">
      <alignment horizontal="center"/>
    </xf>
    <xf numFmtId="164" fontId="7" fillId="0" borderId="13" xfId="1" applyNumberFormat="1" applyFont="1" applyFill="1" applyBorder="1"/>
    <xf numFmtId="43" fontId="0" fillId="0" borderId="0" xfId="0" applyNumberFormat="1"/>
    <xf numFmtId="164" fontId="16" fillId="12" borderId="14" xfId="3" applyNumberFormat="1" applyBorder="1"/>
    <xf numFmtId="3" fontId="16" fillId="11" borderId="1" xfId="2" applyNumberFormat="1" applyBorder="1" applyAlignment="1">
      <alignment horizontal="right" vertical="center"/>
    </xf>
    <xf numFmtId="164" fontId="16" fillId="11" borderId="7" xfId="2" applyNumberFormat="1" applyBorder="1" applyAlignment="1">
      <alignment horizontal="right" vertical="center"/>
    </xf>
    <xf numFmtId="164" fontId="16" fillId="11" borderId="1" xfId="2" applyNumberForma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/>
    </xf>
    <xf numFmtId="164" fontId="18" fillId="11" borderId="0" xfId="2" applyNumberFormat="1" applyFont="1" applyBorder="1"/>
    <xf numFmtId="164" fontId="18" fillId="12" borderId="0" xfId="3" applyNumberFormat="1" applyFont="1" applyBorder="1"/>
    <xf numFmtId="0" fontId="19" fillId="0" borderId="0" xfId="0" applyFont="1" applyAlignment="1">
      <alignment horizontal="left"/>
    </xf>
    <xf numFmtId="3" fontId="8" fillId="15" borderId="2" xfId="0" applyNumberFormat="1" applyFont="1" applyFill="1" applyBorder="1" applyAlignment="1">
      <alignment horizontal="right" vertical="center"/>
    </xf>
    <xf numFmtId="3" fontId="8" fillId="15" borderId="1" xfId="0" applyNumberFormat="1" applyFont="1" applyFill="1" applyBorder="1" applyAlignment="1">
      <alignment horizontal="right" vertical="center"/>
    </xf>
    <xf numFmtId="164" fontId="7" fillId="15" borderId="1" xfId="1" applyNumberFormat="1" applyFont="1" applyFill="1" applyBorder="1" applyAlignment="1">
      <alignment horizontal="right" vertical="center"/>
    </xf>
    <xf numFmtId="17" fontId="0" fillId="0" borderId="0" xfId="0" applyNumberFormat="1" applyAlignment="1">
      <alignment horizontal="left"/>
    </xf>
    <xf numFmtId="3" fontId="20" fillId="14" borderId="0" xfId="0" applyNumberFormat="1" applyFont="1" applyFill="1" applyBorder="1"/>
    <xf numFmtId="3" fontId="8" fillId="13" borderId="2" xfId="0" applyNumberFormat="1" applyFont="1" applyFill="1" applyBorder="1" applyAlignment="1">
      <alignment horizontal="right" vertical="center"/>
    </xf>
    <xf numFmtId="3" fontId="8" fillId="13" borderId="1" xfId="0" applyNumberFormat="1" applyFont="1" applyFill="1" applyBorder="1" applyAlignment="1">
      <alignment horizontal="right" vertical="center"/>
    </xf>
    <xf numFmtId="164" fontId="7" fillId="13" borderId="1" xfId="0" applyNumberFormat="1" applyFont="1" applyFill="1" applyBorder="1" applyAlignment="1">
      <alignment horizontal="right" vertical="center"/>
    </xf>
    <xf numFmtId="43" fontId="7" fillId="13" borderId="1" xfId="1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right" vertical="center"/>
    </xf>
    <xf numFmtId="3" fontId="16" fillId="11" borderId="2" xfId="2" applyNumberFormat="1" applyBorder="1" applyAlignment="1">
      <alignment horizontal="right" vertical="center"/>
    </xf>
    <xf numFmtId="3" fontId="1" fillId="0" borderId="22" xfId="0" applyNumberFormat="1" applyFont="1" applyBorder="1" applyAlignment="1">
      <alignment horizontal="center" vertical="center" wrapText="1"/>
    </xf>
    <xf numFmtId="3" fontId="8" fillId="15" borderId="22" xfId="0" applyNumberFormat="1" applyFont="1" applyFill="1" applyBorder="1" applyAlignment="1">
      <alignment horizontal="right" vertical="center"/>
    </xf>
    <xf numFmtId="164" fontId="7" fillId="10" borderId="22" xfId="1" applyNumberFormat="1" applyFont="1" applyFill="1" applyBorder="1" applyAlignment="1">
      <alignment horizontal="right" vertical="center"/>
    </xf>
    <xf numFmtId="164" fontId="1" fillId="0" borderId="22" xfId="1" applyNumberFormat="1" applyFont="1" applyBorder="1" applyAlignment="1">
      <alignment horizontal="right" vertical="center"/>
    </xf>
    <xf numFmtId="164" fontId="1" fillId="0" borderId="22" xfId="1" applyNumberFormat="1" applyFont="1" applyFill="1" applyBorder="1" applyAlignment="1">
      <alignment horizontal="right" vertical="center"/>
    </xf>
    <xf numFmtId="3" fontId="22" fillId="0" borderId="0" xfId="0" applyNumberFormat="1" applyFont="1"/>
    <xf numFmtId="0" fontId="21" fillId="0" borderId="0" xfId="0" applyFont="1"/>
    <xf numFmtId="0" fontId="11" fillId="0" borderId="2" xfId="0" applyFont="1" applyBorder="1" applyAlignment="1">
      <alignment horizontal="center" vertical="center"/>
    </xf>
    <xf numFmtId="164" fontId="7" fillId="0" borderId="2" xfId="1" applyNumberFormat="1" applyFont="1" applyFill="1" applyBorder="1"/>
    <xf numFmtId="164" fontId="7" fillId="0" borderId="24" xfId="1" applyNumberFormat="1" applyFont="1" applyFill="1" applyBorder="1"/>
    <xf numFmtId="0" fontId="11" fillId="0" borderId="26" xfId="0" applyFont="1" applyBorder="1" applyAlignment="1">
      <alignment horizontal="center" vertical="center"/>
    </xf>
    <xf numFmtId="164" fontId="7" fillId="0" borderId="26" xfId="1" applyNumberFormat="1" applyFont="1" applyFill="1" applyBorder="1"/>
    <xf numFmtId="164" fontId="7" fillId="10" borderId="27" xfId="1" applyNumberFormat="1" applyFont="1" applyFill="1" applyBorder="1"/>
    <xf numFmtId="0" fontId="11" fillId="0" borderId="29" xfId="0" applyFont="1" applyBorder="1" applyAlignment="1">
      <alignment horizontal="center" vertical="center"/>
    </xf>
    <xf numFmtId="164" fontId="7" fillId="0" borderId="29" xfId="1" applyNumberFormat="1" applyFont="1" applyFill="1" applyBorder="1"/>
    <xf numFmtId="164" fontId="7" fillId="0" borderId="26" xfId="1" applyNumberFormat="1" applyFont="1" applyFill="1" applyBorder="1" applyAlignment="1">
      <alignment horizontal="right"/>
    </xf>
    <xf numFmtId="164" fontId="7" fillId="0" borderId="30" xfId="1" applyNumberFormat="1" applyFont="1" applyFill="1" applyBorder="1"/>
    <xf numFmtId="0" fontId="23" fillId="0" borderId="0" xfId="0" applyFont="1" applyAlignment="1">
      <alignment horizontal="right"/>
    </xf>
    <xf numFmtId="3" fontId="23" fillId="0" borderId="0" xfId="0" applyNumberFormat="1" applyFont="1"/>
    <xf numFmtId="164" fontId="23" fillId="0" borderId="0" xfId="0" applyNumberFormat="1" applyFont="1"/>
    <xf numFmtId="0" fontId="23" fillId="0" borderId="0" xfId="0" applyFont="1"/>
    <xf numFmtId="164" fontId="16" fillId="12" borderId="2" xfId="3" applyNumberFormat="1" applyBorder="1"/>
    <xf numFmtId="164" fontId="16" fillId="12" borderId="24" xfId="3" applyNumberFormat="1" applyBorder="1"/>
    <xf numFmtId="164" fontId="16" fillId="11" borderId="30" xfId="2" applyNumberFormat="1" applyBorder="1"/>
    <xf numFmtId="164" fontId="7" fillId="0" borderId="27" xfId="1" applyNumberFormat="1" applyFont="1" applyFill="1" applyBorder="1"/>
    <xf numFmtId="164" fontId="16" fillId="12" borderId="29" xfId="3" applyNumberFormat="1" applyBorder="1"/>
    <xf numFmtId="164" fontId="16" fillId="12" borderId="30" xfId="3" applyNumberFormat="1" applyBorder="1"/>
    <xf numFmtId="164" fontId="16" fillId="12" borderId="27" xfId="3" applyNumberFormat="1" applyBorder="1"/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164" fontId="24" fillId="0" borderId="0" xfId="0" applyNumberFormat="1" applyFont="1"/>
    <xf numFmtId="0" fontId="24" fillId="0" borderId="0" xfId="0" applyFont="1"/>
    <xf numFmtId="164" fontId="7" fillId="20" borderId="1" xfId="1" applyNumberFormat="1" applyFont="1" applyFill="1" applyBorder="1" applyAlignment="1">
      <alignment horizontal="right" vertical="center"/>
    </xf>
    <xf numFmtId="3" fontId="8" fillId="20" borderId="1" xfId="0" applyNumberFormat="1" applyFont="1" applyFill="1" applyBorder="1" applyAlignment="1">
      <alignment horizontal="right" vertical="center"/>
    </xf>
    <xf numFmtId="3" fontId="8" fillId="20" borderId="22" xfId="0" applyNumberFormat="1" applyFont="1" applyFill="1" applyBorder="1" applyAlignment="1">
      <alignment horizontal="right" vertical="center"/>
    </xf>
    <xf numFmtId="164" fontId="7" fillId="20" borderId="22" xfId="1" applyNumberFormat="1" applyFont="1" applyFill="1" applyBorder="1" applyAlignment="1">
      <alignment horizontal="right" vertical="center"/>
    </xf>
    <xf numFmtId="164" fontId="1" fillId="20" borderId="1" xfId="1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11" fillId="17" borderId="32" xfId="0" applyNumberFormat="1" applyFont="1" applyFill="1" applyBorder="1" applyAlignment="1">
      <alignment horizontal="center"/>
    </xf>
    <xf numFmtId="3" fontId="11" fillId="17" borderId="33" xfId="0" applyNumberFormat="1" applyFont="1" applyFill="1" applyBorder="1" applyAlignment="1">
      <alignment horizontal="center"/>
    </xf>
    <xf numFmtId="3" fontId="11" fillId="17" borderId="16" xfId="0" applyNumberFormat="1" applyFont="1" applyFill="1" applyBorder="1" applyAlignment="1">
      <alignment horizontal="center"/>
    </xf>
    <xf numFmtId="3" fontId="11" fillId="17" borderId="3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1" fillId="19" borderId="28" xfId="0" applyFont="1" applyFill="1" applyBorder="1" applyAlignment="1">
      <alignment horizontal="center"/>
    </xf>
    <xf numFmtId="0" fontId="11" fillId="19" borderId="25" xfId="0" applyFont="1" applyFill="1" applyBorder="1" applyAlignment="1">
      <alignment horizontal="center"/>
    </xf>
    <xf numFmtId="0" fontId="11" fillId="18" borderId="15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1" fillId="16" borderId="17" xfId="0" applyFont="1" applyFill="1" applyBorder="1" applyAlignment="1">
      <alignment horizontal="center" vertical="center" wrapText="1"/>
    </xf>
    <xf numFmtId="0" fontId="1" fillId="16" borderId="18" xfId="0" applyFont="1" applyFill="1" applyBorder="1" applyAlignment="1">
      <alignment horizontal="center" vertical="center" wrapText="1"/>
    </xf>
    <xf numFmtId="0" fontId="1" fillId="16" borderId="2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" fillId="4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34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 wrapText="1"/>
    </xf>
    <xf numFmtId="164" fontId="6" fillId="20" borderId="34" xfId="0" applyNumberFormat="1" applyFont="1" applyFill="1" applyBorder="1" applyAlignment="1">
      <alignment horizontal="right" vertical="center"/>
    </xf>
    <xf numFmtId="164" fontId="26" fillId="0" borderId="34" xfId="0" applyNumberFormat="1" applyFont="1" applyBorder="1" applyAlignment="1">
      <alignment horizontal="right" vertical="center"/>
    </xf>
    <xf numFmtId="164" fontId="6" fillId="0" borderId="35" xfId="0" applyNumberFormat="1" applyFont="1" applyBorder="1" applyAlignment="1">
      <alignment horizontal="right" vertical="center" wrapText="1"/>
    </xf>
    <xf numFmtId="0" fontId="24" fillId="0" borderId="35" xfId="0" applyFont="1" applyBorder="1"/>
    <xf numFmtId="0" fontId="24" fillId="0" borderId="34" xfId="0" applyFont="1" applyBorder="1"/>
    <xf numFmtId="43" fontId="23" fillId="0" borderId="35" xfId="0" applyNumberFormat="1" applyFont="1" applyBorder="1"/>
    <xf numFmtId="164" fontId="23" fillId="0" borderId="34" xfId="0" applyNumberFormat="1" applyFont="1" applyBorder="1"/>
    <xf numFmtId="164" fontId="24" fillId="0" borderId="35" xfId="0" applyNumberFormat="1" applyFont="1" applyBorder="1"/>
    <xf numFmtId="164" fontId="24" fillId="0" borderId="34" xfId="0" applyNumberFormat="1" applyFont="1" applyBorder="1"/>
    <xf numFmtId="164" fontId="23" fillId="0" borderId="35" xfId="0" applyNumberFormat="1" applyFont="1" applyBorder="1"/>
  </cellXfs>
  <cellStyles count="4">
    <cellStyle name="Accent1" xfId="2" builtinId="29"/>
    <cellStyle name="Accent6" xfId="3" builtinId="4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topLeftCell="A2" zoomScale="83" zoomScaleNormal="70" workbookViewId="0">
      <pane xSplit="1" topLeftCell="B1" activePane="topRight" state="frozen"/>
      <selection pane="topRight" activeCell="L10" sqref="L10"/>
    </sheetView>
  </sheetViews>
  <sheetFormatPr defaultRowHeight="14.4" x14ac:dyDescent="0.3"/>
  <cols>
    <col min="1" max="1" width="12.109375" style="1" customWidth="1"/>
    <col min="2" max="2" width="17.109375" style="2" bestFit="1" customWidth="1"/>
    <col min="3" max="3" width="15.5546875" bestFit="1" customWidth="1"/>
    <col min="4" max="4" width="18.5546875" bestFit="1" customWidth="1"/>
    <col min="5" max="5" width="17.44140625" bestFit="1" customWidth="1"/>
    <col min="6" max="6" width="16.33203125" bestFit="1" customWidth="1"/>
    <col min="7" max="7" width="16" customWidth="1"/>
    <col min="8" max="8" width="18.21875" bestFit="1" customWidth="1"/>
    <col min="9" max="9" width="15.88671875" customWidth="1"/>
    <col min="10" max="10" width="16.6640625" bestFit="1" customWidth="1"/>
    <col min="11" max="11" width="17.44140625" customWidth="1"/>
    <col min="12" max="12" width="16.6640625" bestFit="1" customWidth="1"/>
    <col min="13" max="13" width="15.5546875" bestFit="1" customWidth="1"/>
    <col min="14" max="14" width="17.5546875" bestFit="1" customWidth="1"/>
    <col min="15" max="15" width="16.33203125" bestFit="1" customWidth="1"/>
  </cols>
  <sheetData>
    <row r="1" spans="1:15" ht="15.6" x14ac:dyDescent="0.3">
      <c r="A1" s="134" t="s">
        <v>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x14ac:dyDescent="0.3">
      <c r="A2" s="145">
        <v>2020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5" x14ac:dyDescent="0.3">
      <c r="A3" s="77"/>
      <c r="B3" s="150" t="s">
        <v>41</v>
      </c>
      <c r="C3" s="150"/>
      <c r="D3" s="150"/>
      <c r="E3" s="150"/>
      <c r="F3" s="150"/>
      <c r="G3" s="151"/>
      <c r="H3" s="150" t="s">
        <v>42</v>
      </c>
      <c r="I3" s="150"/>
      <c r="J3" s="150"/>
      <c r="K3" s="150"/>
    </row>
    <row r="4" spans="1:15" ht="41.25" customHeight="1" x14ac:dyDescent="0.3">
      <c r="A4" s="146" t="s">
        <v>1</v>
      </c>
      <c r="B4" s="149" t="s">
        <v>12</v>
      </c>
      <c r="C4" s="149"/>
      <c r="D4" s="149"/>
      <c r="E4" s="154" t="s">
        <v>13</v>
      </c>
      <c r="F4" s="155"/>
      <c r="G4" s="156"/>
      <c r="H4" s="157" t="s">
        <v>14</v>
      </c>
      <c r="I4" s="158"/>
      <c r="J4" s="152" t="s">
        <v>15</v>
      </c>
      <c r="K4" s="153"/>
    </row>
    <row r="5" spans="1:15" ht="18.75" customHeight="1" x14ac:dyDescent="0.3">
      <c r="A5" s="147"/>
      <c r="B5" s="23" t="s">
        <v>0</v>
      </c>
      <c r="C5" s="10" t="s">
        <v>4</v>
      </c>
      <c r="D5" s="10" t="s">
        <v>5</v>
      </c>
      <c r="E5" s="9" t="s">
        <v>0</v>
      </c>
      <c r="F5" s="10" t="s">
        <v>4</v>
      </c>
      <c r="G5" s="89" t="s">
        <v>5</v>
      </c>
      <c r="H5" s="23" t="s">
        <v>10</v>
      </c>
      <c r="I5" s="10" t="s">
        <v>5</v>
      </c>
      <c r="J5" s="9" t="s">
        <v>10</v>
      </c>
      <c r="K5" s="10" t="s">
        <v>5</v>
      </c>
    </row>
    <row r="6" spans="1:15" ht="19.5" customHeight="1" x14ac:dyDescent="0.3">
      <c r="A6" s="24" t="s">
        <v>6</v>
      </c>
      <c r="B6" s="78">
        <v>70046</v>
      </c>
      <c r="C6" s="79">
        <v>194796</v>
      </c>
      <c r="D6" s="79">
        <v>7932375</v>
      </c>
      <c r="E6" s="79">
        <v>22644</v>
      </c>
      <c r="F6" s="79">
        <v>139566</v>
      </c>
      <c r="G6" s="90">
        <v>2264400</v>
      </c>
      <c r="H6" s="78">
        <v>72164</v>
      </c>
      <c r="I6" s="79">
        <f>H6*200</f>
        <v>14432800</v>
      </c>
      <c r="J6" s="80">
        <v>29981</v>
      </c>
      <c r="K6" s="80">
        <f>J6*300</f>
        <v>8994300</v>
      </c>
    </row>
    <row r="7" spans="1:15" x14ac:dyDescent="0.3">
      <c r="A7" s="25" t="s">
        <v>7</v>
      </c>
      <c r="B7" s="129">
        <v>70546</v>
      </c>
      <c r="C7" s="14">
        <v>196496</v>
      </c>
      <c r="D7" s="125">
        <v>8009700</v>
      </c>
      <c r="E7" s="14">
        <v>22903</v>
      </c>
      <c r="F7" s="14">
        <v>141428</v>
      </c>
      <c r="G7" s="126">
        <v>2291700</v>
      </c>
      <c r="H7" s="78">
        <f>115886+16786+6</f>
        <v>132678</v>
      </c>
      <c r="I7" s="79">
        <f>(115886*200)+(16786*400)+(6*600)</f>
        <v>29895200</v>
      </c>
      <c r="J7" s="80">
        <v>74558</v>
      </c>
      <c r="K7" s="80">
        <f>J7*300</f>
        <v>22367400</v>
      </c>
    </row>
    <row r="8" spans="1:15" ht="19.350000000000001" customHeight="1" x14ac:dyDescent="0.3">
      <c r="A8" s="25" t="s">
        <v>8</v>
      </c>
      <c r="B8" s="129">
        <v>71973</v>
      </c>
      <c r="C8" s="14">
        <v>201175</v>
      </c>
      <c r="D8" s="125">
        <v>8180395</v>
      </c>
      <c r="E8" s="14">
        <v>23350</v>
      </c>
      <c r="F8" s="14">
        <v>143956</v>
      </c>
      <c r="G8" s="126">
        <v>2335400</v>
      </c>
      <c r="H8" s="78">
        <f>115368+3210</f>
        <v>118578</v>
      </c>
      <c r="I8" s="79">
        <f>(115368*200)+(3210*400)</f>
        <v>24357600</v>
      </c>
      <c r="J8" s="80">
        <v>58831</v>
      </c>
      <c r="K8" s="80">
        <f>J8*300</f>
        <v>17649300</v>
      </c>
    </row>
    <row r="9" spans="1:15" x14ac:dyDescent="0.3">
      <c r="A9" s="25" t="s">
        <v>2</v>
      </c>
      <c r="B9" s="31">
        <v>74556</v>
      </c>
      <c r="C9" s="32">
        <v>209417</v>
      </c>
      <c r="D9" s="124">
        <v>8507525</v>
      </c>
      <c r="E9" s="32">
        <v>24070</v>
      </c>
      <c r="F9" s="32">
        <v>148303</v>
      </c>
      <c r="G9" s="127">
        <v>2409400</v>
      </c>
      <c r="H9" s="78">
        <f>163+95305+258+378+1+75+2</f>
        <v>96182</v>
      </c>
      <c r="I9" s="79">
        <f>(163*100)+(95305*200)+(258*300)+(378*400)+(1*500)+(75*600)+(2*800)</f>
        <v>19353000</v>
      </c>
      <c r="J9" s="80">
        <v>84915</v>
      </c>
      <c r="K9" s="80">
        <f>J9*300</f>
        <v>25474500</v>
      </c>
    </row>
    <row r="10" spans="1:15" x14ac:dyDescent="0.3">
      <c r="A10" s="25" t="s">
        <v>3</v>
      </c>
      <c r="B10" s="31">
        <v>76850</v>
      </c>
      <c r="C10" s="32">
        <v>216868</v>
      </c>
      <c r="D10" s="124">
        <v>8796630</v>
      </c>
      <c r="E10" s="32">
        <v>24655</v>
      </c>
      <c r="F10" s="32">
        <v>151902</v>
      </c>
      <c r="G10" s="91">
        <v>2467700</v>
      </c>
      <c r="H10" s="83">
        <f>30+86951+4+1385+268+134+28</f>
        <v>88800</v>
      </c>
      <c r="I10" s="84">
        <f>(30*100)+(86951*200)+(4*300)+(1385*400)+(268*600)+(134*800)+(28*1000)</f>
        <v>18244400</v>
      </c>
      <c r="J10" s="85">
        <v>0</v>
      </c>
      <c r="K10" s="86">
        <v>0</v>
      </c>
      <c r="L10" s="81">
        <v>42248</v>
      </c>
    </row>
    <row r="11" spans="1:15" ht="19.350000000000001" customHeight="1" x14ac:dyDescent="0.3">
      <c r="A11" s="26" t="s">
        <v>9</v>
      </c>
      <c r="B11" s="31">
        <v>78642</v>
      </c>
      <c r="C11" s="32">
        <v>222753</v>
      </c>
      <c r="D11" s="124">
        <v>9024710</v>
      </c>
      <c r="E11" s="32">
        <v>25154</v>
      </c>
      <c r="F11" s="32">
        <v>154970</v>
      </c>
      <c r="G11" s="91">
        <v>2517000</v>
      </c>
      <c r="H11" s="88">
        <f>7+82328+109+153+32+3+1</f>
        <v>82633</v>
      </c>
      <c r="I11" s="70">
        <f>(7*100)+(82328*200)+(109*400)+(153*600)+(32*800)+(3*1000)+(1*1200)</f>
        <v>16631500</v>
      </c>
      <c r="J11" s="71">
        <v>531</v>
      </c>
      <c r="K11" s="71">
        <v>159300</v>
      </c>
    </row>
    <row r="12" spans="1:15" ht="19.350000000000001" customHeight="1" x14ac:dyDescent="0.3">
      <c r="A12" s="26" t="s">
        <v>17</v>
      </c>
      <c r="B12" s="12">
        <v>0</v>
      </c>
      <c r="C12" s="13">
        <v>0</v>
      </c>
      <c r="D12" s="13">
        <v>0</v>
      </c>
      <c r="E12" s="28">
        <v>0</v>
      </c>
      <c r="F12" s="28">
        <v>0</v>
      </c>
      <c r="G12" s="92">
        <v>0</v>
      </c>
      <c r="H12" s="12">
        <f>4+31924+28+15+5</f>
        <v>31976</v>
      </c>
      <c r="I12" s="128">
        <f>(4*100)+(31924*200)+(28*400)+(15*600)+(5*800)</f>
        <v>6409400</v>
      </c>
      <c r="J12" s="60">
        <v>0</v>
      </c>
      <c r="K12" s="32">
        <f>J12*300</f>
        <v>0</v>
      </c>
    </row>
    <row r="13" spans="1:15" ht="19.350000000000001" customHeight="1" thickBot="1" x14ac:dyDescent="0.35">
      <c r="A13" s="27" t="s">
        <v>18</v>
      </c>
      <c r="B13" s="12">
        <v>0</v>
      </c>
      <c r="C13" s="13">
        <v>0</v>
      </c>
      <c r="D13" s="13">
        <v>0</v>
      </c>
      <c r="E13" s="13">
        <v>0</v>
      </c>
      <c r="F13" s="13">
        <v>0</v>
      </c>
      <c r="G13" s="92">
        <v>0</v>
      </c>
      <c r="H13" s="12">
        <f>1+8723+101+48+4+85+22+6</f>
        <v>8990</v>
      </c>
      <c r="I13" s="128">
        <f>(1*100)+(8723*200)+(101*400)+(48*600)+(4*700)+(85*800)+(22*1000)+(6*1200)</f>
        <v>1913900</v>
      </c>
      <c r="J13" s="72">
        <v>51</v>
      </c>
      <c r="K13" s="72">
        <f>J13*300</f>
        <v>15300</v>
      </c>
    </row>
    <row r="14" spans="1:15" x14ac:dyDescent="0.3">
      <c r="B14" s="73">
        <f t="shared" ref="B14:K14" si="0">SUM(B6:B13)</f>
        <v>442613</v>
      </c>
      <c r="C14" s="73">
        <f t="shared" si="0"/>
        <v>1241505</v>
      </c>
      <c r="D14" s="61">
        <f t="shared" si="0"/>
        <v>50451335</v>
      </c>
      <c r="E14" s="61">
        <f t="shared" si="0"/>
        <v>142776</v>
      </c>
      <c r="F14" s="61">
        <f t="shared" si="0"/>
        <v>880125</v>
      </c>
      <c r="G14" s="61">
        <f t="shared" si="0"/>
        <v>14285600</v>
      </c>
      <c r="H14" s="58">
        <v>0</v>
      </c>
      <c r="I14" s="59">
        <f t="shared" si="0"/>
        <v>131237800</v>
      </c>
      <c r="J14" s="62">
        <f t="shared" si="0"/>
        <v>248867</v>
      </c>
      <c r="K14" s="63">
        <f t="shared" si="0"/>
        <v>74660100</v>
      </c>
    </row>
    <row r="15" spans="1:15" x14ac:dyDescent="0.3">
      <c r="B15" s="73"/>
      <c r="C15" s="73"/>
      <c r="D15" s="61"/>
      <c r="E15" s="61"/>
      <c r="F15" s="61"/>
      <c r="G15" s="61"/>
      <c r="H15" s="58"/>
      <c r="I15" s="59"/>
      <c r="J15" s="62"/>
      <c r="K15" s="63"/>
    </row>
    <row r="16" spans="1:15" x14ac:dyDescent="0.3">
      <c r="B16" s="73"/>
      <c r="C16" s="73"/>
      <c r="D16" s="61"/>
      <c r="E16" s="61"/>
      <c r="F16" s="61"/>
      <c r="G16" s="61"/>
      <c r="H16" s="58"/>
      <c r="I16" s="59"/>
      <c r="J16" s="62"/>
      <c r="K16" s="63"/>
    </row>
    <row r="17" spans="1:14" x14ac:dyDescent="0.3">
      <c r="A17" s="145">
        <v>2021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</row>
    <row r="18" spans="1:14" x14ac:dyDescent="0.3">
      <c r="A18" s="77"/>
      <c r="B18" s="150" t="s">
        <v>41</v>
      </c>
      <c r="C18" s="150"/>
      <c r="D18" s="150"/>
      <c r="E18" s="150"/>
      <c r="F18" s="150"/>
      <c r="G18" s="150"/>
      <c r="H18" s="150"/>
      <c r="I18" s="150"/>
      <c r="J18" s="151"/>
      <c r="K18" s="150" t="s">
        <v>42</v>
      </c>
      <c r="L18" s="150"/>
      <c r="M18" s="150"/>
      <c r="N18" s="150"/>
    </row>
    <row r="19" spans="1:14" ht="37.5" customHeight="1" x14ac:dyDescent="0.3">
      <c r="A19" s="146" t="s">
        <v>1</v>
      </c>
      <c r="B19" s="148" t="s">
        <v>45</v>
      </c>
      <c r="C19" s="148"/>
      <c r="D19" s="148"/>
      <c r="E19" s="149" t="s">
        <v>43</v>
      </c>
      <c r="F19" s="149"/>
      <c r="G19" s="149"/>
      <c r="H19" s="154" t="s">
        <v>44</v>
      </c>
      <c r="I19" s="155"/>
      <c r="J19" s="156"/>
      <c r="K19" s="161" t="s">
        <v>14</v>
      </c>
      <c r="L19" s="157"/>
      <c r="M19" s="159" t="s">
        <v>15</v>
      </c>
      <c r="N19" s="160"/>
    </row>
    <row r="20" spans="1:14" x14ac:dyDescent="0.3">
      <c r="A20" s="147"/>
      <c r="B20" s="23" t="s">
        <v>0</v>
      </c>
      <c r="C20" s="10" t="s">
        <v>4</v>
      </c>
      <c r="D20" s="10" t="s">
        <v>5</v>
      </c>
      <c r="E20" s="9" t="s">
        <v>0</v>
      </c>
      <c r="F20" s="10" t="s">
        <v>4</v>
      </c>
      <c r="G20" s="10" t="s">
        <v>5</v>
      </c>
      <c r="H20" s="9" t="s">
        <v>0</v>
      </c>
      <c r="I20" s="10" t="s">
        <v>4</v>
      </c>
      <c r="J20" s="89" t="s">
        <v>5</v>
      </c>
      <c r="K20" s="23" t="s">
        <v>10</v>
      </c>
      <c r="L20" s="10" t="s">
        <v>5</v>
      </c>
      <c r="M20" s="9" t="s">
        <v>10</v>
      </c>
      <c r="N20" s="10" t="s">
        <v>5</v>
      </c>
    </row>
    <row r="21" spans="1:14" x14ac:dyDescent="0.3">
      <c r="A21" s="24" t="s">
        <v>57</v>
      </c>
      <c r="B21" s="87">
        <v>0</v>
      </c>
      <c r="C21" s="28">
        <v>0</v>
      </c>
      <c r="D21" s="28">
        <v>0</v>
      </c>
      <c r="E21" s="28">
        <v>78642</v>
      </c>
      <c r="F21" s="28">
        <v>222753</v>
      </c>
      <c r="G21" s="28">
        <v>9024710</v>
      </c>
      <c r="H21" s="28">
        <v>25154</v>
      </c>
      <c r="I21" s="28">
        <v>154970</v>
      </c>
      <c r="J21" s="93">
        <v>2517000</v>
      </c>
      <c r="K21" s="87">
        <v>0</v>
      </c>
      <c r="L21" s="28">
        <v>0</v>
      </c>
      <c r="M21" s="28">
        <v>0</v>
      </c>
      <c r="N21" s="28">
        <v>0</v>
      </c>
    </row>
    <row r="22" spans="1:14" ht="15" customHeight="1" x14ac:dyDescent="0.3">
      <c r="A22" s="25" t="s">
        <v>58</v>
      </c>
      <c r="B22" s="87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93">
        <v>0</v>
      </c>
      <c r="K22" s="87">
        <v>0</v>
      </c>
      <c r="L22" s="28">
        <v>0</v>
      </c>
      <c r="M22" s="28">
        <v>0</v>
      </c>
      <c r="N22" s="28">
        <v>0</v>
      </c>
    </row>
    <row r="23" spans="1:14" x14ac:dyDescent="0.3">
      <c r="A23" s="24" t="s">
        <v>59</v>
      </c>
      <c r="B23" s="87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93">
        <v>0</v>
      </c>
      <c r="K23" s="87">
        <v>0</v>
      </c>
      <c r="L23" s="28">
        <v>0</v>
      </c>
      <c r="M23" s="28">
        <v>0</v>
      </c>
      <c r="N23" s="28">
        <v>0</v>
      </c>
    </row>
    <row r="24" spans="1:14" x14ac:dyDescent="0.3">
      <c r="A24" s="25" t="s">
        <v>60</v>
      </c>
      <c r="B24" s="8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93">
        <v>0</v>
      </c>
      <c r="K24" s="87">
        <v>0</v>
      </c>
      <c r="L24" s="28">
        <v>0</v>
      </c>
      <c r="M24" s="28">
        <v>0</v>
      </c>
      <c r="N24" s="28">
        <v>0</v>
      </c>
    </row>
    <row r="25" spans="1:14" ht="15" customHeight="1" x14ac:dyDescent="0.3">
      <c r="A25" s="24" t="s">
        <v>6</v>
      </c>
      <c r="B25" s="87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93">
        <v>0</v>
      </c>
      <c r="K25" s="87">
        <v>0</v>
      </c>
      <c r="L25" s="28">
        <v>0</v>
      </c>
      <c r="M25" s="28">
        <v>0</v>
      </c>
      <c r="N25" s="28">
        <v>0</v>
      </c>
    </row>
    <row r="26" spans="1:14" ht="18.75" customHeight="1" x14ac:dyDescent="0.3">
      <c r="A26" s="25" t="s">
        <v>7</v>
      </c>
      <c r="B26" s="87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93">
        <v>0</v>
      </c>
      <c r="K26" s="87">
        <v>0</v>
      </c>
      <c r="L26" s="28">
        <v>0</v>
      </c>
      <c r="M26" s="28">
        <v>0</v>
      </c>
      <c r="N26" s="28">
        <v>0</v>
      </c>
    </row>
    <row r="27" spans="1:14" ht="15" customHeight="1" x14ac:dyDescent="0.3">
      <c r="A27" s="24" t="s">
        <v>8</v>
      </c>
      <c r="B27" s="87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93">
        <v>0</v>
      </c>
      <c r="K27" s="87">
        <v>0</v>
      </c>
      <c r="L27" s="28">
        <v>0</v>
      </c>
      <c r="M27" s="28">
        <v>0</v>
      </c>
      <c r="N27" s="28">
        <v>0</v>
      </c>
    </row>
    <row r="28" spans="1:14" x14ac:dyDescent="0.3">
      <c r="A28" s="25" t="s">
        <v>2</v>
      </c>
      <c r="B28" s="87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93">
        <v>0</v>
      </c>
      <c r="K28" s="87">
        <v>0</v>
      </c>
      <c r="L28" s="28">
        <v>0</v>
      </c>
      <c r="M28" s="28">
        <v>0</v>
      </c>
      <c r="N28" s="28">
        <v>0</v>
      </c>
    </row>
    <row r="29" spans="1:14" x14ac:dyDescent="0.3">
      <c r="B29" s="73">
        <f t="shared" ref="B29:G29" si="1">SUM(B21:B28)</f>
        <v>0</v>
      </c>
      <c r="C29" s="73">
        <f t="shared" si="1"/>
        <v>0</v>
      </c>
      <c r="D29" s="61">
        <f t="shared" si="1"/>
        <v>0</v>
      </c>
      <c r="E29" s="61">
        <f t="shared" si="1"/>
        <v>78642</v>
      </c>
      <c r="F29" s="61">
        <f t="shared" si="1"/>
        <v>222753</v>
      </c>
      <c r="G29" s="61">
        <f t="shared" si="1"/>
        <v>9024710</v>
      </c>
      <c r="H29" s="61">
        <f t="shared" ref="H29:J29" si="2">SUM(H21:H28)</f>
        <v>25154</v>
      </c>
      <c r="I29" s="61">
        <f t="shared" si="2"/>
        <v>154970</v>
      </c>
      <c r="J29" s="61">
        <f t="shared" si="2"/>
        <v>2517000</v>
      </c>
      <c r="K29" s="63">
        <f t="shared" ref="K29" si="3">SUM(K21:K28)</f>
        <v>0</v>
      </c>
      <c r="L29" s="4">
        <f>SUM(L21:L28)</f>
        <v>0</v>
      </c>
      <c r="M29" s="4">
        <f>SUM(M21:M28)</f>
        <v>0</v>
      </c>
      <c r="N29" s="4">
        <f>SUM(N21:N28)</f>
        <v>0</v>
      </c>
    </row>
    <row r="30" spans="1:14" x14ac:dyDescent="0.3">
      <c r="B30" s="73"/>
      <c r="C30" s="73"/>
      <c r="D30" s="61"/>
      <c r="E30" s="61"/>
      <c r="F30" s="61"/>
      <c r="G30" s="61"/>
      <c r="H30" s="58"/>
      <c r="I30" s="59"/>
      <c r="J30" s="62"/>
      <c r="K30" s="63"/>
    </row>
    <row r="31" spans="1:14" x14ac:dyDescent="0.3">
      <c r="B31"/>
      <c r="G31" s="57"/>
      <c r="I31" s="56"/>
    </row>
    <row r="32" spans="1:14" ht="15" thickBot="1" x14ac:dyDescent="0.35">
      <c r="A32" s="55" t="s">
        <v>39</v>
      </c>
      <c r="B32" s="55"/>
      <c r="C32" s="51"/>
      <c r="D32" s="51"/>
      <c r="E32" s="51"/>
      <c r="F32" s="51"/>
      <c r="G32" s="51"/>
      <c r="H32" s="51"/>
      <c r="I32" s="51"/>
      <c r="J32" s="51"/>
      <c r="K32" s="52"/>
      <c r="L32" s="51"/>
    </row>
    <row r="33" spans="1:22" x14ac:dyDescent="0.3">
      <c r="A33" s="135" t="s">
        <v>31</v>
      </c>
      <c r="B33" s="139" t="s">
        <v>46</v>
      </c>
      <c r="C33" s="140"/>
      <c r="D33" s="141" t="s">
        <v>47</v>
      </c>
      <c r="E33" s="140"/>
      <c r="F33" s="142" t="s">
        <v>32</v>
      </c>
      <c r="G33" s="143"/>
      <c r="H33" s="144" t="s">
        <v>33</v>
      </c>
      <c r="I33" s="143"/>
      <c r="J33" s="137" t="s">
        <v>34</v>
      </c>
      <c r="K33" s="138"/>
      <c r="L33" s="130" t="s">
        <v>50</v>
      </c>
      <c r="M33" s="131"/>
      <c r="N33" s="132" t="s">
        <v>51</v>
      </c>
      <c r="O33" s="133"/>
    </row>
    <row r="34" spans="1:22" x14ac:dyDescent="0.3">
      <c r="A34" s="136"/>
      <c r="B34" s="53" t="s">
        <v>29</v>
      </c>
      <c r="C34" s="99" t="s">
        <v>30</v>
      </c>
      <c r="D34" s="96" t="s">
        <v>29</v>
      </c>
      <c r="E34" s="99" t="s">
        <v>30</v>
      </c>
      <c r="F34" s="102" t="s">
        <v>29</v>
      </c>
      <c r="G34" s="99" t="s">
        <v>30</v>
      </c>
      <c r="H34" s="96" t="s">
        <v>29</v>
      </c>
      <c r="I34" s="99" t="s">
        <v>30</v>
      </c>
      <c r="J34" s="102" t="s">
        <v>29</v>
      </c>
      <c r="K34" s="99" t="s">
        <v>30</v>
      </c>
      <c r="L34" s="102" t="s">
        <v>29</v>
      </c>
      <c r="M34" s="99" t="s">
        <v>30</v>
      </c>
      <c r="N34" s="96" t="s">
        <v>29</v>
      </c>
      <c r="O34" s="54" t="s">
        <v>30</v>
      </c>
    </row>
    <row r="35" spans="1:22" x14ac:dyDescent="0.3">
      <c r="A35" s="64" t="s">
        <v>27</v>
      </c>
      <c r="B35" s="32">
        <v>43860000</v>
      </c>
      <c r="C35" s="100">
        <v>0</v>
      </c>
      <c r="D35" s="97">
        <f>B35*C48</f>
        <v>171054000</v>
      </c>
      <c r="E35" s="100">
        <v>0</v>
      </c>
      <c r="F35" s="103">
        <v>19463155.899999999</v>
      </c>
      <c r="G35" s="100">
        <v>0</v>
      </c>
      <c r="H35" s="97">
        <v>77761743.75</v>
      </c>
      <c r="I35" s="104" t="s">
        <v>37</v>
      </c>
      <c r="J35" s="103">
        <f>42998450*45%</f>
        <v>19349302.5</v>
      </c>
      <c r="K35" s="104" t="s">
        <v>37</v>
      </c>
      <c r="L35" s="114">
        <f>B35-F35</f>
        <v>24396844.100000001</v>
      </c>
      <c r="M35" s="104" t="s">
        <v>37</v>
      </c>
      <c r="N35" s="110">
        <f>D35-H35</f>
        <v>93292256.25</v>
      </c>
      <c r="O35" s="74" t="s">
        <v>37</v>
      </c>
    </row>
    <row r="36" spans="1:22" x14ac:dyDescent="0.3">
      <c r="A36" s="65" t="s">
        <v>26</v>
      </c>
      <c r="B36" s="32">
        <v>54727880</v>
      </c>
      <c r="C36" s="100">
        <v>0</v>
      </c>
      <c r="D36" s="97">
        <f>B36*C48</f>
        <v>213438732</v>
      </c>
      <c r="E36" s="100">
        <v>0</v>
      </c>
      <c r="F36" s="103">
        <v>24189134.969999999</v>
      </c>
      <c r="G36" s="100">
        <v>0</v>
      </c>
      <c r="H36" s="97">
        <v>95042131.25</v>
      </c>
      <c r="I36" s="104" t="s">
        <v>37</v>
      </c>
      <c r="J36" s="103">
        <f>42998450*55%</f>
        <v>23649147.500000004</v>
      </c>
      <c r="K36" s="104" t="s">
        <v>37</v>
      </c>
      <c r="L36" s="114">
        <f>B36-F36</f>
        <v>30538745.030000001</v>
      </c>
      <c r="M36" s="104" t="s">
        <v>37</v>
      </c>
      <c r="N36" s="110">
        <f>D36-H36</f>
        <v>118396600.75</v>
      </c>
      <c r="O36" s="74" t="s">
        <v>37</v>
      </c>
    </row>
    <row r="37" spans="1:22" ht="15" thickBot="1" x14ac:dyDescent="0.35">
      <c r="A37" s="66" t="s">
        <v>28</v>
      </c>
      <c r="B37" s="67">
        <v>15000000</v>
      </c>
      <c r="C37" s="113">
        <v>5812042.4900000002</v>
      </c>
      <c r="D37" s="98">
        <f>B37*C48</f>
        <v>58500000</v>
      </c>
      <c r="E37" s="101">
        <f>C37*C48</f>
        <v>22666965.710999999</v>
      </c>
      <c r="F37" s="105">
        <v>0</v>
      </c>
      <c r="G37" s="101">
        <v>1253000</v>
      </c>
      <c r="H37" s="98"/>
      <c r="I37" s="101">
        <f>G10+G11</f>
        <v>4984700</v>
      </c>
      <c r="J37" s="112">
        <f>I11+K11+K13</f>
        <v>16806100</v>
      </c>
      <c r="K37" s="113">
        <v>0</v>
      </c>
      <c r="L37" s="115">
        <f>B37-F37</f>
        <v>15000000</v>
      </c>
      <c r="M37" s="116">
        <f>C37-G37</f>
        <v>4559042.49</v>
      </c>
      <c r="N37" s="111">
        <f>D37-H37</f>
        <v>58500000</v>
      </c>
      <c r="O37" s="69">
        <f>E37-I37</f>
        <v>17682265.710999999</v>
      </c>
      <c r="P37" s="51"/>
      <c r="Q37" s="51"/>
      <c r="R37" s="51"/>
      <c r="S37" s="51"/>
      <c r="T37" s="51"/>
      <c r="U37" s="52"/>
      <c r="V37" s="51"/>
    </row>
    <row r="38" spans="1:22" s="120" customFormat="1" ht="31.8" customHeight="1" x14ac:dyDescent="0.3">
      <c r="A38" s="117" t="s">
        <v>49</v>
      </c>
      <c r="B38" s="118">
        <f>SUM(B35:B37)</f>
        <v>113587880</v>
      </c>
      <c r="C38" s="118">
        <f>SUM(C35:C37)</f>
        <v>5812042.4900000002</v>
      </c>
      <c r="D38" s="119">
        <f>SUM(D35:D37)</f>
        <v>442992732</v>
      </c>
      <c r="E38" s="119">
        <f>SUM(E35:E37)</f>
        <v>22666965.710999999</v>
      </c>
      <c r="F38" s="118">
        <f t="shared" ref="F38:M38" si="4">SUM(F35:F37)</f>
        <v>43652290.869999997</v>
      </c>
      <c r="G38" s="118">
        <f t="shared" si="4"/>
        <v>1253000</v>
      </c>
      <c r="H38" s="119">
        <f t="shared" si="4"/>
        <v>172803875</v>
      </c>
      <c r="I38" s="119">
        <f t="shared" si="4"/>
        <v>4984700</v>
      </c>
      <c r="J38" s="119">
        <f t="shared" si="4"/>
        <v>59804550</v>
      </c>
      <c r="K38" s="119">
        <f t="shared" si="4"/>
        <v>0</v>
      </c>
      <c r="L38" s="118">
        <f t="shared" si="4"/>
        <v>69935589.129999995</v>
      </c>
      <c r="M38" s="118">
        <f t="shared" si="4"/>
        <v>4559042.49</v>
      </c>
      <c r="N38" s="119">
        <f>SUM(N35:N37)</f>
        <v>270188857</v>
      </c>
      <c r="O38" s="119">
        <f>SUM(O37)</f>
        <v>17682265.710999999</v>
      </c>
    </row>
    <row r="39" spans="1:22" s="109" customFormat="1" ht="12" x14ac:dyDescent="0.25">
      <c r="A39" s="106"/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66"/>
      <c r="O39" s="166"/>
    </row>
    <row r="40" spans="1:22" s="109" customFormat="1" ht="15.6" x14ac:dyDescent="0.3">
      <c r="A40" s="106"/>
      <c r="B40" s="167" t="s">
        <v>52</v>
      </c>
      <c r="C40" s="167"/>
      <c r="D40" s="167" t="s">
        <v>61</v>
      </c>
      <c r="E40" s="167"/>
      <c r="F40" s="167" t="s">
        <v>62</v>
      </c>
      <c r="G40" s="167"/>
      <c r="H40" s="108"/>
      <c r="I40" s="108"/>
      <c r="J40" s="108"/>
      <c r="K40" s="108"/>
      <c r="L40" s="108"/>
      <c r="M40" s="108"/>
      <c r="N40" s="108"/>
      <c r="O40" s="108"/>
    </row>
    <row r="41" spans="1:22" s="123" customFormat="1" ht="25.8" customHeight="1" x14ac:dyDescent="0.3">
      <c r="A41" s="121"/>
      <c r="B41" s="168" t="s">
        <v>55</v>
      </c>
      <c r="C41" s="169">
        <f>(D35+D36)-H35-H36</f>
        <v>211688857</v>
      </c>
      <c r="D41" s="173" t="s">
        <v>63</v>
      </c>
      <c r="E41" s="169">
        <f>(N37+O37)-J37</f>
        <v>59376165.710999995</v>
      </c>
      <c r="F41" s="173" t="s">
        <v>63</v>
      </c>
      <c r="G41" s="169">
        <f>(C43+N37+O37)-J37</f>
        <v>213186262.711</v>
      </c>
      <c r="H41" s="122"/>
      <c r="I41" s="122"/>
      <c r="J41" s="122"/>
      <c r="K41" s="122"/>
      <c r="L41" s="122"/>
      <c r="M41" s="122"/>
      <c r="N41" s="122"/>
      <c r="O41" s="122"/>
    </row>
    <row r="42" spans="1:22" s="123" customFormat="1" ht="43.2" x14ac:dyDescent="0.3">
      <c r="A42" s="121"/>
      <c r="B42" s="170" t="s">
        <v>56</v>
      </c>
      <c r="C42" s="171">
        <f>D7+D8+D9+D10+D11+G7+G8+G9+I12+I13</f>
        <v>57878760</v>
      </c>
      <c r="D42" s="174"/>
      <c r="E42" s="175"/>
      <c r="F42" s="178"/>
      <c r="G42" s="179"/>
      <c r="H42" s="122"/>
      <c r="I42" s="122"/>
      <c r="J42" s="122"/>
      <c r="K42" s="122"/>
      <c r="L42" s="122"/>
      <c r="M42" s="122"/>
      <c r="N42" s="122"/>
      <c r="O42" s="122"/>
    </row>
    <row r="43" spans="1:22" s="109" customFormat="1" ht="28.8" customHeight="1" x14ac:dyDescent="0.25">
      <c r="A43" s="106"/>
      <c r="B43" s="170" t="s">
        <v>54</v>
      </c>
      <c r="C43" s="172">
        <f>C41-C42</f>
        <v>153810097</v>
      </c>
      <c r="D43" s="176"/>
      <c r="E43" s="177"/>
      <c r="F43" s="180"/>
      <c r="G43" s="177"/>
      <c r="H43" s="108"/>
      <c r="I43" s="108"/>
      <c r="J43" s="108"/>
      <c r="K43" s="108"/>
      <c r="L43" s="108"/>
      <c r="M43" s="108"/>
      <c r="N43" s="108"/>
      <c r="O43" s="108"/>
    </row>
    <row r="44" spans="1:22" s="109" customFormat="1" ht="12" x14ac:dyDescent="0.25">
      <c r="A44" s="106"/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</row>
    <row r="45" spans="1:22" x14ac:dyDescent="0.3">
      <c r="B45" s="75" t="s">
        <v>35</v>
      </c>
    </row>
    <row r="46" spans="1:22" x14ac:dyDescent="0.3">
      <c r="B46" s="76" t="s">
        <v>36</v>
      </c>
    </row>
    <row r="47" spans="1:22" x14ac:dyDescent="0.3">
      <c r="B47" s="82" t="s">
        <v>40</v>
      </c>
      <c r="D47" s="68"/>
    </row>
    <row r="48" spans="1:22" x14ac:dyDescent="0.3">
      <c r="B48" s="94" t="s">
        <v>48</v>
      </c>
      <c r="C48" s="95">
        <v>3.9</v>
      </c>
    </row>
  </sheetData>
  <mergeCells count="30">
    <mergeCell ref="N39:O39"/>
    <mergeCell ref="B40:C40"/>
    <mergeCell ref="D40:E40"/>
    <mergeCell ref="F40:G40"/>
    <mergeCell ref="M19:N19"/>
    <mergeCell ref="H19:J19"/>
    <mergeCell ref="K19:L19"/>
    <mergeCell ref="K18:N18"/>
    <mergeCell ref="B18:J18"/>
    <mergeCell ref="J4:K4"/>
    <mergeCell ref="E4:G4"/>
    <mergeCell ref="B4:D4"/>
    <mergeCell ref="A4:A5"/>
    <mergeCell ref="H4:I4"/>
    <mergeCell ref="L33:M33"/>
    <mergeCell ref="N33:O33"/>
    <mergeCell ref="A1:O1"/>
    <mergeCell ref="A33:A34"/>
    <mergeCell ref="J33:K33"/>
    <mergeCell ref="B33:C33"/>
    <mergeCell ref="D33:E33"/>
    <mergeCell ref="F33:G33"/>
    <mergeCell ref="H33:I33"/>
    <mergeCell ref="A2:K2"/>
    <mergeCell ref="A17:K17"/>
    <mergeCell ref="A19:A20"/>
    <mergeCell ref="B19:D19"/>
    <mergeCell ref="E19:G19"/>
    <mergeCell ref="B3:G3"/>
    <mergeCell ref="H3:K3"/>
  </mergeCells>
  <phoneticPr fontId="5" type="noConversion"/>
  <pageMargins left="0.25" right="0.25" top="0.75" bottom="0.75" header="0.3" footer="0.3"/>
  <pageSetup paperSize="9" scale="5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workbookViewId="0">
      <selection activeCell="C3" sqref="C3"/>
    </sheetView>
  </sheetViews>
  <sheetFormatPr defaultRowHeight="14.4" x14ac:dyDescent="0.3"/>
  <sheetData>
    <row r="2" spans="2:4" x14ac:dyDescent="0.3">
      <c r="C2" t="s">
        <v>27</v>
      </c>
      <c r="D2" t="s">
        <v>26</v>
      </c>
    </row>
    <row r="3" spans="2:4" x14ac:dyDescent="0.3"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77" workbookViewId="0">
      <selection activeCell="E16" sqref="E16"/>
    </sheetView>
  </sheetViews>
  <sheetFormatPr defaultRowHeight="14.4" x14ac:dyDescent="0.3"/>
  <cols>
    <col min="1" max="1" width="10.109375" customWidth="1"/>
    <col min="2" max="2" width="7.5546875" bestFit="1" customWidth="1"/>
    <col min="4" max="4" width="13.5546875" customWidth="1"/>
    <col min="5" max="5" width="22.109375" bestFit="1" customWidth="1"/>
    <col min="6" max="6" width="10.109375" customWidth="1"/>
    <col min="7" max="7" width="10.5546875" customWidth="1"/>
    <col min="8" max="8" width="10.109375" bestFit="1" customWidth="1"/>
    <col min="9" max="9" width="21" bestFit="1" customWidth="1"/>
    <col min="11" max="11" width="15.109375" bestFit="1" customWidth="1"/>
    <col min="12" max="12" width="22.109375" bestFit="1" customWidth="1"/>
    <col min="13" max="13" width="12.109375" customWidth="1"/>
    <col min="14" max="14" width="14.109375" bestFit="1" customWidth="1"/>
    <col min="15" max="15" width="20" bestFit="1" customWidth="1"/>
  </cols>
  <sheetData>
    <row r="1" spans="1:15" ht="52.65" customHeight="1" x14ac:dyDescent="0.3">
      <c r="A1" s="162" t="s">
        <v>1</v>
      </c>
      <c r="B1" s="164" t="s">
        <v>12</v>
      </c>
      <c r="C1" s="148"/>
      <c r="D1" s="148"/>
      <c r="E1" s="45" t="s">
        <v>16</v>
      </c>
      <c r="F1" s="149" t="s">
        <v>13</v>
      </c>
      <c r="G1" s="149"/>
      <c r="H1" s="149"/>
      <c r="I1" s="44" t="s">
        <v>16</v>
      </c>
      <c r="J1" s="165" t="s">
        <v>14</v>
      </c>
      <c r="K1" s="158"/>
      <c r="L1" s="7" t="s">
        <v>16</v>
      </c>
      <c r="M1" s="152" t="s">
        <v>15</v>
      </c>
      <c r="N1" s="153"/>
      <c r="O1" s="8" t="s">
        <v>16</v>
      </c>
    </row>
    <row r="2" spans="1:15" x14ac:dyDescent="0.3">
      <c r="A2" s="163"/>
      <c r="B2" s="23" t="s">
        <v>0</v>
      </c>
      <c r="C2" s="10" t="s">
        <v>4</v>
      </c>
      <c r="D2" s="10" t="s">
        <v>5</v>
      </c>
      <c r="E2" s="10"/>
      <c r="F2" s="9" t="s">
        <v>0</v>
      </c>
      <c r="G2" s="10" t="s">
        <v>4</v>
      </c>
      <c r="H2" s="10" t="s">
        <v>5</v>
      </c>
      <c r="I2" s="10"/>
      <c r="J2" s="9" t="s">
        <v>10</v>
      </c>
      <c r="K2" s="10" t="s">
        <v>5</v>
      </c>
      <c r="L2" s="10"/>
      <c r="M2" s="9" t="s">
        <v>10</v>
      </c>
      <c r="N2" s="10" t="s">
        <v>5</v>
      </c>
      <c r="O2" s="10"/>
    </row>
    <row r="3" spans="1:15" x14ac:dyDescent="0.3">
      <c r="A3" s="24" t="s">
        <v>6</v>
      </c>
      <c r="B3" s="36">
        <v>70046</v>
      </c>
      <c r="C3" s="35">
        <v>194796</v>
      </c>
      <c r="D3" s="35">
        <v>7932375</v>
      </c>
      <c r="E3" s="14" t="s">
        <v>19</v>
      </c>
      <c r="F3" s="35">
        <v>22644</v>
      </c>
      <c r="G3" s="35">
        <v>139566</v>
      </c>
      <c r="H3" s="35">
        <v>2264400</v>
      </c>
      <c r="I3" s="14" t="s">
        <v>19</v>
      </c>
      <c r="J3" s="39">
        <v>90802</v>
      </c>
      <c r="K3" s="39">
        <f t="shared" ref="K3:K8" si="0">J3*200</f>
        <v>18160400</v>
      </c>
      <c r="L3" s="14" t="s">
        <v>21</v>
      </c>
      <c r="M3" s="39">
        <v>66788</v>
      </c>
      <c r="N3" s="39">
        <f>M3*300</f>
        <v>20036400</v>
      </c>
      <c r="O3" s="14"/>
    </row>
    <row r="4" spans="1:15" ht="27.6" x14ac:dyDescent="0.3">
      <c r="A4" s="25" t="s">
        <v>7</v>
      </c>
      <c r="B4" s="36">
        <v>70546</v>
      </c>
      <c r="C4" s="35">
        <v>196496</v>
      </c>
      <c r="D4" s="35">
        <v>8009700</v>
      </c>
      <c r="E4" s="30"/>
      <c r="F4" s="35">
        <v>22903</v>
      </c>
      <c r="G4" s="35">
        <v>141428</v>
      </c>
      <c r="H4" s="35">
        <v>2291700</v>
      </c>
      <c r="I4" s="14"/>
      <c r="J4" s="29">
        <v>130115</v>
      </c>
      <c r="K4" s="29">
        <f t="shared" si="0"/>
        <v>26023000</v>
      </c>
      <c r="L4" s="17" t="s">
        <v>23</v>
      </c>
      <c r="M4" s="29">
        <v>52705</v>
      </c>
      <c r="N4" s="29">
        <f>M4*300</f>
        <v>15811500</v>
      </c>
      <c r="O4" s="14"/>
    </row>
    <row r="5" spans="1:15" x14ac:dyDescent="0.3">
      <c r="A5" s="25" t="s">
        <v>8</v>
      </c>
      <c r="B5" s="36">
        <v>71973</v>
      </c>
      <c r="C5" s="35">
        <v>201175</v>
      </c>
      <c r="D5" s="35">
        <v>8180395</v>
      </c>
      <c r="E5" s="30"/>
      <c r="F5" s="35">
        <v>23350</v>
      </c>
      <c r="G5" s="35">
        <v>143956</v>
      </c>
      <c r="H5" s="35">
        <v>2335400</v>
      </c>
      <c r="I5" s="14"/>
      <c r="J5" s="29">
        <v>118578</v>
      </c>
      <c r="K5" s="29">
        <f t="shared" si="0"/>
        <v>23715600</v>
      </c>
      <c r="L5" s="14" t="s">
        <v>22</v>
      </c>
      <c r="M5" s="29">
        <f>181503-52705-71731</f>
        <v>57067</v>
      </c>
      <c r="N5" s="29">
        <f>M5*300</f>
        <v>17120100</v>
      </c>
      <c r="O5" s="14"/>
    </row>
    <row r="6" spans="1:15" x14ac:dyDescent="0.3">
      <c r="A6" s="25" t="s">
        <v>2</v>
      </c>
      <c r="B6" s="37">
        <v>74556</v>
      </c>
      <c r="C6" s="38">
        <v>209417</v>
      </c>
      <c r="D6" s="38">
        <v>8507525</v>
      </c>
      <c r="E6" s="33"/>
      <c r="F6" s="38">
        <v>24070</v>
      </c>
      <c r="G6" s="38">
        <v>148303</v>
      </c>
      <c r="H6" s="38">
        <v>2409400</v>
      </c>
      <c r="I6" s="15"/>
      <c r="J6" s="29">
        <v>96182</v>
      </c>
      <c r="K6" s="29">
        <f t="shared" si="0"/>
        <v>19236400</v>
      </c>
      <c r="L6" s="14" t="s">
        <v>22</v>
      </c>
      <c r="M6" s="29">
        <v>71731</v>
      </c>
      <c r="N6" s="29">
        <f>M6*300</f>
        <v>21519300</v>
      </c>
      <c r="O6" s="14"/>
    </row>
    <row r="7" spans="1:15" ht="27.6" x14ac:dyDescent="0.3">
      <c r="A7" s="25" t="s">
        <v>3</v>
      </c>
      <c r="B7" s="37">
        <v>76850</v>
      </c>
      <c r="C7" s="38">
        <v>216868</v>
      </c>
      <c r="D7" s="38">
        <v>8796630</v>
      </c>
      <c r="E7" s="33"/>
      <c r="F7" s="39">
        <v>24655</v>
      </c>
      <c r="G7" s="39">
        <v>151902</v>
      </c>
      <c r="H7" s="39">
        <v>2467700</v>
      </c>
      <c r="I7" s="15"/>
      <c r="J7" s="29">
        <v>90678</v>
      </c>
      <c r="K7" s="29">
        <f>J7*200</f>
        <v>18135600</v>
      </c>
      <c r="L7" s="17" t="s">
        <v>25</v>
      </c>
      <c r="M7" s="34">
        <v>0</v>
      </c>
      <c r="N7" s="20">
        <v>0</v>
      </c>
      <c r="O7" s="14" t="s">
        <v>20</v>
      </c>
    </row>
    <row r="8" spans="1:15" x14ac:dyDescent="0.3">
      <c r="A8" s="26" t="s">
        <v>9</v>
      </c>
      <c r="B8" s="31">
        <v>78642</v>
      </c>
      <c r="C8" s="32">
        <v>222753</v>
      </c>
      <c r="D8" s="32">
        <v>9024710</v>
      </c>
      <c r="E8" s="33" t="s">
        <v>24</v>
      </c>
      <c r="F8" s="39">
        <v>25154</v>
      </c>
      <c r="G8" s="39">
        <v>154970</v>
      </c>
      <c r="H8" s="39">
        <v>2517000</v>
      </c>
      <c r="I8" s="15"/>
      <c r="J8" s="34">
        <v>83238</v>
      </c>
      <c r="K8" s="20">
        <f t="shared" si="0"/>
        <v>16647600</v>
      </c>
      <c r="L8" s="32" t="s">
        <v>24</v>
      </c>
      <c r="M8" s="46">
        <v>531</v>
      </c>
      <c r="N8" s="47">
        <v>159300</v>
      </c>
      <c r="O8" s="14"/>
    </row>
    <row r="9" spans="1:15" x14ac:dyDescent="0.3">
      <c r="A9" s="26" t="s">
        <v>17</v>
      </c>
      <c r="B9" s="12">
        <v>0</v>
      </c>
      <c r="C9" s="13">
        <v>0</v>
      </c>
      <c r="D9" s="13">
        <v>0</v>
      </c>
      <c r="E9" s="11"/>
      <c r="F9" s="13">
        <v>0</v>
      </c>
      <c r="G9" s="13">
        <v>0</v>
      </c>
      <c r="H9" s="13">
        <v>0</v>
      </c>
      <c r="I9" s="15"/>
      <c r="J9" s="48">
        <v>32090</v>
      </c>
      <c r="K9" s="43">
        <f>J9*200</f>
        <v>6418000</v>
      </c>
      <c r="L9" s="28" t="s">
        <v>24</v>
      </c>
      <c r="M9" s="18">
        <v>0</v>
      </c>
      <c r="N9" s="19">
        <v>0</v>
      </c>
      <c r="O9" s="22" t="s">
        <v>11</v>
      </c>
    </row>
    <row r="10" spans="1:15" ht="15" thickBot="1" x14ac:dyDescent="0.35">
      <c r="A10" s="27" t="s">
        <v>18</v>
      </c>
      <c r="B10" s="12">
        <v>0</v>
      </c>
      <c r="C10" s="13">
        <v>0</v>
      </c>
      <c r="D10" s="13">
        <v>0</v>
      </c>
      <c r="E10" s="11"/>
      <c r="F10" s="13">
        <v>0</v>
      </c>
      <c r="G10" s="13">
        <v>0</v>
      </c>
      <c r="H10" s="13">
        <v>0</v>
      </c>
      <c r="I10" s="15"/>
      <c r="J10" s="18">
        <v>0</v>
      </c>
      <c r="K10" s="20">
        <v>0</v>
      </c>
      <c r="L10" s="21"/>
      <c r="M10" s="18">
        <v>0</v>
      </c>
      <c r="N10" s="19">
        <v>0</v>
      </c>
      <c r="O10" s="14"/>
    </row>
    <row r="11" spans="1:15" x14ac:dyDescent="0.3">
      <c r="A11" s="1"/>
      <c r="B11" s="40">
        <f>SUM(B3:B10)</f>
        <v>442613</v>
      </c>
      <c r="C11" s="40">
        <f>SUM(C3:C10)</f>
        <v>1241505</v>
      </c>
      <c r="D11" s="41">
        <f>SUM(D3:D10)</f>
        <v>50451335</v>
      </c>
      <c r="E11" s="5"/>
      <c r="F11" s="42">
        <f>SUM(F3:F10)</f>
        <v>142776</v>
      </c>
      <c r="G11" s="42">
        <f>SUM(G3:G10)</f>
        <v>880125</v>
      </c>
      <c r="H11" s="41">
        <f>SUM(H3:H10)</f>
        <v>14285600</v>
      </c>
      <c r="I11" s="5"/>
      <c r="J11" s="50">
        <f>SUM(J3:J10)</f>
        <v>641683</v>
      </c>
      <c r="K11" s="49">
        <f>SUM(K3:K10)</f>
        <v>128336600</v>
      </c>
      <c r="L11" s="6"/>
      <c r="M11" s="16">
        <f>SUM(M3:M10)</f>
        <v>248822</v>
      </c>
      <c r="N11" s="49">
        <f>SUM(N3:N10)</f>
        <v>74646600</v>
      </c>
    </row>
    <row r="12" spans="1:15" x14ac:dyDescent="0.3">
      <c r="A12" s="1"/>
    </row>
    <row r="13" spans="1:15" x14ac:dyDescent="0.3">
      <c r="A13" s="1"/>
      <c r="B13" s="3"/>
      <c r="C13" s="4"/>
      <c r="G13" s="6"/>
    </row>
  </sheetData>
  <mergeCells count="5">
    <mergeCell ref="A1:A2"/>
    <mergeCell ref="B1:D1"/>
    <mergeCell ref="F1:H1"/>
    <mergeCell ref="J1:K1"/>
    <mergeCell ref="M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507D95EA16941A218DE71E33A8135" ma:contentTypeVersion="13" ma:contentTypeDescription="Create a new document." ma:contentTypeScope="" ma:versionID="aae14e925a21d2840c008b3598606e78">
  <xsd:schema xmlns:xsd="http://www.w3.org/2001/XMLSchema" xmlns:xs="http://www.w3.org/2001/XMLSchema" xmlns:p="http://schemas.microsoft.com/office/2006/metadata/properties" xmlns:ns3="cf89ca73-df50-446e-a0eb-12b8b1ce8d77" xmlns:ns4="21747ebf-91ba-4abb-ad09-b0273a7bd8b4" targetNamespace="http://schemas.microsoft.com/office/2006/metadata/properties" ma:root="true" ma:fieldsID="87ba3bcf2dafb78227aff9510824aa2b" ns3:_="" ns4:_="">
    <xsd:import namespace="cf89ca73-df50-446e-a0eb-12b8b1ce8d77"/>
    <xsd:import namespace="21747ebf-91ba-4abb-ad09-b0273a7bd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9ca73-df50-446e-a0eb-12b8b1ce8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47ebf-91ba-4abb-ad09-b0273a7bd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C949D-A92F-4290-822A-C8D78A151A43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cf89ca73-df50-446e-a0eb-12b8b1ce8d77"/>
    <ds:schemaRef ds:uri="http://schemas.microsoft.com/office/2006/documentManagement/types"/>
    <ds:schemaRef ds:uri="21747ebf-91ba-4abb-ad09-b0273a7bd8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5CE8C6-AF4F-4557-BE67-9B0AAC276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03092-00B6-4790-AC89-148E7EC91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9ca73-df50-446e-a0eb-12b8b1ce8d77"/>
    <ds:schemaRef ds:uri="21747ebf-91ba-4abb-ad09-b0273a7bd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COVID STATISTICS</vt:lpstr>
      <vt:lpstr>Sheet1</vt:lpstr>
      <vt:lpstr>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Salome Chakvetadze</cp:lastModifiedBy>
  <cp:lastPrinted>2021-02-16T12:22:51Z</cp:lastPrinted>
  <dcterms:created xsi:type="dcterms:W3CDTF">2015-06-05T18:17:20Z</dcterms:created>
  <dcterms:modified xsi:type="dcterms:W3CDTF">2021-02-17T08:46:45Z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0x010100DBC507D95EA16941A218DE71E33A8135</vt:lpwstr>
  </property>
</Properties>
</file>