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bankgroup-my.sharepoint.com/personal/vcetinkaya_worldbank_org/Documents/Georgia/COVID 19/1 Implementation/SP Component 2/Monitoring/"/>
    </mc:Choice>
  </mc:AlternateContent>
  <xr:revisionPtr revIDLastSave="498" documentId="8_{A16D70D0-CA75-4E24-920E-997AC331B9FF}" xr6:coauthVersionLast="45" xr6:coauthVersionMax="45" xr10:uidLastSave="{99975070-544C-4EB2-BC23-F2BE4CDB346A}"/>
  <bookViews>
    <workbookView xWindow="28680" yWindow="-120" windowWidth="29040" windowHeight="15990" xr2:uid="{481D9548-7D84-49B1-8109-BC16E7E94589}"/>
  </bookViews>
  <sheets>
    <sheet name="Monitoring disbursements benef" sheetId="1" r:id="rId1"/>
    <sheet name="SESA UB Unique benef monitoring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1" l="1"/>
  <c r="D49" i="1"/>
  <c r="C49" i="1"/>
  <c r="D48" i="1"/>
  <c r="C48" i="1" s="1"/>
  <c r="E79" i="1"/>
  <c r="E48" i="1"/>
  <c r="C78" i="1"/>
  <c r="D78" i="1"/>
  <c r="E78" i="1"/>
  <c r="D47" i="1"/>
  <c r="E47" i="1"/>
  <c r="C47" i="1"/>
  <c r="F57" i="1"/>
  <c r="F56" i="1"/>
  <c r="F55" i="1"/>
  <c r="C77" i="1" l="1"/>
  <c r="D77" i="1"/>
  <c r="E77" i="1"/>
  <c r="E76" i="1"/>
  <c r="D76" i="1"/>
  <c r="C76" i="1"/>
  <c r="D45" i="1" l="1"/>
  <c r="D46" i="1"/>
  <c r="E46" i="1" s="1"/>
  <c r="G27" i="1" l="1"/>
  <c r="J40" i="1" l="1"/>
  <c r="J34" i="1"/>
  <c r="D7" i="4"/>
  <c r="D8" i="4" s="1"/>
  <c r="D9" i="4" s="1"/>
  <c r="D10" i="4" s="1"/>
  <c r="D6" i="4"/>
  <c r="D5" i="4"/>
  <c r="G10" i="4"/>
  <c r="G9" i="4"/>
  <c r="G8" i="4"/>
  <c r="G7" i="4"/>
  <c r="G6" i="4"/>
  <c r="H6" i="4" s="1"/>
  <c r="H7" i="4" s="1"/>
  <c r="H8" i="4" s="1"/>
  <c r="H9" i="4" s="1"/>
  <c r="H10" i="4" s="1"/>
  <c r="G5" i="4"/>
  <c r="J43" i="1" l="1"/>
  <c r="F23" i="1" s="1"/>
  <c r="C65" i="1"/>
  <c r="D65" i="1" s="1"/>
  <c r="C66" i="1"/>
  <c r="D66" i="1" s="1"/>
  <c r="C68" i="1"/>
  <c r="D68" i="1" s="1"/>
  <c r="C69" i="1"/>
  <c r="D69" i="1" s="1"/>
  <c r="C71" i="1"/>
  <c r="D71" i="1" s="1"/>
  <c r="C72" i="1"/>
  <c r="D72" i="1" s="1"/>
  <c r="C58" i="1"/>
  <c r="C26" i="1"/>
  <c r="D26" i="1" s="1"/>
  <c r="E26" i="1" s="1"/>
  <c r="C25" i="1"/>
  <c r="C56" i="1" s="1"/>
  <c r="D56" i="1" s="1"/>
  <c r="E56" i="1" s="1"/>
  <c r="C24" i="1"/>
  <c r="D24" i="1" s="1"/>
  <c r="E24" i="1" s="1"/>
  <c r="C23" i="1"/>
  <c r="D23" i="1" s="1"/>
  <c r="E23" i="1" s="1"/>
  <c r="D34" i="1"/>
  <c r="E34" i="1" s="1"/>
  <c r="D35" i="1"/>
  <c r="E35" i="1" s="1"/>
  <c r="D37" i="1"/>
  <c r="E37" i="1" s="1"/>
  <c r="D38" i="1"/>
  <c r="E38" i="1" s="1"/>
  <c r="D40" i="1"/>
  <c r="E40" i="1" s="1"/>
  <c r="D41" i="1"/>
  <c r="E41" i="1" s="1"/>
  <c r="G43" i="1"/>
  <c r="F26" i="1" s="1"/>
  <c r="F43" i="1"/>
  <c r="F25" i="1" s="1"/>
  <c r="I43" i="1"/>
  <c r="H43" i="1"/>
  <c r="F24" i="1" s="1"/>
  <c r="C39" i="1"/>
  <c r="D39" i="1" s="1"/>
  <c r="E39" i="1" s="1"/>
  <c r="H23" i="1" l="1"/>
  <c r="F54" i="1"/>
  <c r="F59" i="1" s="1"/>
  <c r="H25" i="1"/>
  <c r="H24" i="1"/>
  <c r="J24" i="1"/>
  <c r="C57" i="1"/>
  <c r="D57" i="1" s="1"/>
  <c r="E57" i="1" s="1"/>
  <c r="C55" i="1"/>
  <c r="D55" i="1" s="1"/>
  <c r="E55" i="1" s="1"/>
  <c r="C70" i="1"/>
  <c r="D70" i="1" s="1"/>
  <c r="C54" i="1"/>
  <c r="D54" i="1" s="1"/>
  <c r="E54" i="1" s="1"/>
  <c r="F28" i="1"/>
  <c r="C28" i="1"/>
  <c r="D28" i="1" s="1"/>
  <c r="E28" i="1" s="1"/>
  <c r="D25" i="1"/>
  <c r="E25" i="1" s="1"/>
  <c r="C59" i="1" l="1"/>
  <c r="D59" i="1" s="1"/>
  <c r="E59" i="1" s="1"/>
  <c r="C36" i="1" l="1"/>
  <c r="D36" i="1" l="1"/>
  <c r="E36" i="1" s="1"/>
  <c r="C67" i="1"/>
  <c r="D67" i="1" s="1"/>
  <c r="C33" i="1"/>
  <c r="C64" i="1" s="1"/>
  <c r="D64" i="1" l="1"/>
  <c r="D74" i="1" s="1"/>
  <c r="C74" i="1"/>
  <c r="C80" i="1" s="1"/>
  <c r="C43" i="1"/>
  <c r="D33" i="1"/>
  <c r="D43" i="1" l="1"/>
  <c r="E43" i="1" s="1"/>
  <c r="E33" i="1"/>
  <c r="E15" i="1"/>
  <c r="E10" i="1"/>
  <c r="E11" i="1"/>
  <c r="E12" i="1"/>
  <c r="E9" i="1"/>
  <c r="D13" i="1"/>
  <c r="C13" i="1"/>
  <c r="C16" i="1" s="1"/>
  <c r="D79" i="1" l="1"/>
  <c r="E13" i="1"/>
  <c r="E16" i="1" s="1"/>
  <c r="D16" i="1"/>
  <c r="E45" i="1" l="1"/>
  <c r="C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tc={2D541410-BB0B-4D18-ADBF-B77CF6D031F6}</author>
  </authors>
  <commentList>
    <comment ref="G27" authorId="0" shapeId="0" xr:uid="{2D541410-BB0B-4D18-ADBF-B77CF6D031F6}">
      <text>
        <t>[Threaded comment]
Your version of Excel allows you to read this threaded comment; however, any edits to it will get removed if the file is opened in a newer version of Excel. Learn more: https://go.microsoft.com/fwlink/?linkid=870924
Comment:
    delta of new hh to be covered planned in project
Reply:
    using 118,000 as baseline but afterwards we realized baseline value was wrong and rather 108,000</t>
      </text>
    </comment>
  </commentList>
</comments>
</file>

<file path=xl/sharedStrings.xml><?xml version="1.0" encoding="utf-8"?>
<sst xmlns="http://schemas.openxmlformats.org/spreadsheetml/2006/main" count="128" uniqueCount="73">
  <si>
    <t>UB</t>
  </si>
  <si>
    <t>Cumulative amount GEL</t>
  </si>
  <si>
    <t>One off benefit</t>
  </si>
  <si>
    <t>As of Nov 30</t>
  </si>
  <si>
    <t>Temporary benefit for vulnerable HH</t>
  </si>
  <si>
    <t>Top up for families with children</t>
  </si>
  <si>
    <t>As of end of October</t>
  </si>
  <si>
    <t>Update :</t>
  </si>
  <si>
    <t>Nb of beneficiaries is total nb of members in the household as provided by admin data</t>
  </si>
  <si>
    <t>TSA expansion</t>
  </si>
  <si>
    <t>Comment :</t>
  </si>
  <si>
    <t>Net expansion since March (additional households only)</t>
  </si>
  <si>
    <t>GEL to USD conversion rate</t>
  </si>
  <si>
    <t xml:space="preserve"> nb of beneficiaries </t>
  </si>
  <si>
    <t>May</t>
  </si>
  <si>
    <t>Claim 3, SESA, WB Part</t>
  </si>
  <si>
    <t>June - Sept</t>
  </si>
  <si>
    <t xml:space="preserve">There is duplication (hh in 4 are the same as hh in 3) ; we sum them up as agreed with the GP, comulative number </t>
  </si>
  <si>
    <t>GEL</t>
  </si>
  <si>
    <t>USD</t>
  </si>
  <si>
    <t>Total (March October)</t>
  </si>
  <si>
    <t>Total (March October) without TSA</t>
  </si>
  <si>
    <t>One off 300</t>
  </si>
  <si>
    <t>hh65-100</t>
  </si>
  <si>
    <t>hh with 3 children</t>
  </si>
  <si>
    <t>May-June</t>
  </si>
  <si>
    <t>out of which Unempl. Benefit (200GEL)</t>
  </si>
  <si>
    <t>Claim 1, SESA, All</t>
  </si>
  <si>
    <t>WB part = 45%</t>
  </si>
  <si>
    <t>Claim 2, TSA, All</t>
  </si>
  <si>
    <t>out of which children top up</t>
  </si>
  <si>
    <t>out of which emergency benefit hh65-100</t>
  </si>
  <si>
    <t>1/ Total spent by the government</t>
  </si>
  <si>
    <t>2/ Total spent under the project (using project funds, AIIB + WB)</t>
  </si>
  <si>
    <t>3/ Total spent under the project (WB funds ONLY)</t>
  </si>
  <si>
    <t xml:space="preserve">WB financing part </t>
  </si>
  <si>
    <t>Total as of Feb18, 2021</t>
  </si>
  <si>
    <t>Detail by disbursement :</t>
  </si>
  <si>
    <t>out of which One-Off for Self Empl.  (300GEL)</t>
  </si>
  <si>
    <t>UB monitoring as of nov 8th</t>
  </si>
  <si>
    <t># times perceived UB</t>
  </si>
  <si>
    <t>Starting month (proxy)</t>
  </si>
  <si>
    <t>Jun</t>
  </si>
  <si>
    <t>July</t>
  </si>
  <si>
    <t>Aug</t>
  </si>
  <si>
    <t>Sept</t>
  </si>
  <si>
    <t>Oct</t>
  </si>
  <si>
    <t>Simulated amounts per month</t>
  </si>
  <si>
    <t>Cumulative amount</t>
  </si>
  <si>
    <t>Cumulative nb of unique beneficiaries</t>
  </si>
  <si>
    <t>UB 200 GEL UNIQUE beneficiary (see next sheet)</t>
  </si>
  <si>
    <t>Consistency check : amount in cell H5 in next sheet consistent with 20m GEL requested (May and part of June)</t>
  </si>
  <si>
    <t>Consistency check : cumulative amount on UB from May to Sept consistent with cumulative amount for sept next sheet, cell H8</t>
  </si>
  <si>
    <t>Source : Monitoring report shared by SESA / PIU, Nov 2020, data as of Nov 8th</t>
  </si>
  <si>
    <t>Nb UNIQUE beneficiaries</t>
  </si>
  <si>
    <t>Number of beneficiaries covered (reporting disbursement)</t>
  </si>
  <si>
    <t>UB 200 GEL (non unique benef)</t>
  </si>
  <si>
    <t>targets (Results Framework)</t>
  </si>
  <si>
    <t>% achievement</t>
  </si>
  <si>
    <t>GEL amount for gap</t>
  </si>
  <si>
    <t>EUR to USD conversion rate</t>
  </si>
  <si>
    <t>EUR</t>
  </si>
  <si>
    <t>Expected Feb</t>
  </si>
  <si>
    <t>Expected April</t>
  </si>
  <si>
    <t>Claim 5, SSA + SESA</t>
  </si>
  <si>
    <t>Claim 4, SSA</t>
  </si>
  <si>
    <t>PAD allocation - can be suject to changes in exchange rates</t>
  </si>
  <si>
    <t>Loan amount in EUR (Comp 2, AIIB + WB)</t>
  </si>
  <si>
    <t xml:space="preserve">Source Nino K PIU </t>
  </si>
  <si>
    <t>Available funds based on projections (using PAD loan amount)</t>
  </si>
  <si>
    <t>Available funds based on projections (using Nino K loan amount)</t>
  </si>
  <si>
    <t>Loan amount in GEL (Comp 2, AIIB + WB)</t>
  </si>
  <si>
    <t>Total projected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</si>
</sst>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3" fontId="0" fillId="0" borderId="0" xfId="0" applyNumberFormat="1"/>
    <xf numFmtId="4" fontId="0" fillId="0" borderId="0" xfId="0" applyNumberFormat="1"/>
    <xf numFmtId="0" fontId="3" fillId="0" borderId="0" xfId="0" applyFont="1"/>
    <xf numFmtId="3" fontId="2" fillId="0" borderId="0" xfId="0" applyNumberFormat="1" applyFont="1"/>
    <xf numFmtId="43" fontId="0" fillId="0" borderId="0" xfId="1" applyFont="1"/>
    <xf numFmtId="43" fontId="2" fillId="0" borderId="0" xfId="1" applyFont="1"/>
    <xf numFmtId="0" fontId="2" fillId="0" borderId="0" xfId="0" applyFont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0" fillId="0" borderId="0" xfId="1" applyFont="1" applyBorder="1" applyAlignment="1">
      <alignment horizontal="center" vertical="center"/>
    </xf>
    <xf numFmtId="0" fontId="5" fillId="0" borderId="0" xfId="0" applyFont="1" applyAlignment="1"/>
    <xf numFmtId="0" fontId="2" fillId="2" borderId="0" xfId="0" applyFont="1" applyFill="1"/>
    <xf numFmtId="3" fontId="2" fillId="2" borderId="0" xfId="0" applyNumberFormat="1" applyFont="1" applyFill="1"/>
    <xf numFmtId="43" fontId="2" fillId="2" borderId="0" xfId="1" applyFont="1" applyFill="1"/>
    <xf numFmtId="43" fontId="0" fillId="2" borderId="0" xfId="0" applyNumberFormat="1" applyFill="1"/>
    <xf numFmtId="164" fontId="0" fillId="0" borderId="0" xfId="1" applyNumberFormat="1" applyFont="1"/>
    <xf numFmtId="164" fontId="4" fillId="0" borderId="0" xfId="1" applyNumberFormat="1" applyFont="1"/>
    <xf numFmtId="164" fontId="0" fillId="2" borderId="0" xfId="1" applyNumberFormat="1" applyFont="1" applyFill="1"/>
    <xf numFmtId="3" fontId="6" fillId="0" borderId="0" xfId="0" applyNumberFormat="1" applyFont="1"/>
    <xf numFmtId="0" fontId="5" fillId="3" borderId="0" xfId="0" applyFont="1" applyFill="1"/>
    <xf numFmtId="0" fontId="0" fillId="3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64" fontId="4" fillId="2" borderId="0" xfId="1" applyNumberFormat="1" applyFont="1" applyFill="1"/>
    <xf numFmtId="0" fontId="8" fillId="0" borderId="0" xfId="0" applyFont="1" applyAlignment="1">
      <alignment wrapText="1"/>
    </xf>
    <xf numFmtId="0" fontId="8" fillId="0" borderId="0" xfId="0" applyFont="1"/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0" xfId="0" applyFont="1"/>
    <xf numFmtId="164" fontId="6" fillId="2" borderId="0" xfId="1" applyNumberFormat="1" applyFont="1" applyFill="1"/>
    <xf numFmtId="165" fontId="0" fillId="0" borderId="0" xfId="2" applyNumberFormat="1" applyFont="1"/>
    <xf numFmtId="0" fontId="0" fillId="0" borderId="0" xfId="0" applyFill="1"/>
    <xf numFmtId="3" fontId="0" fillId="0" borderId="0" xfId="0" applyNumberFormat="1" applyFill="1"/>
    <xf numFmtId="4" fontId="0" fillId="0" borderId="0" xfId="0" applyNumberFormat="1" applyFill="1"/>
    <xf numFmtId="0" fontId="0" fillId="0" borderId="0" xfId="0" applyAlignment="1">
      <alignment horizontal="right" vertical="center"/>
    </xf>
    <xf numFmtId="9" fontId="0" fillId="0" borderId="0" xfId="2" applyFont="1" applyAlignment="1">
      <alignment horizontal="right"/>
    </xf>
    <xf numFmtId="43" fontId="2" fillId="2" borderId="0" xfId="0" applyNumberFormat="1" applyFont="1" applyFill="1"/>
    <xf numFmtId="0" fontId="0" fillId="4" borderId="0" xfId="0" applyFill="1"/>
    <xf numFmtId="0" fontId="2" fillId="2" borderId="0" xfId="0" applyFont="1" applyFill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licia C. Marguerie" id="{6AE1D766-364C-4BBC-B015-0CF2ADB99DC8}" userId="S::amarguerie@worldbank.org::f623fa0b-fa3f-4010-938b-0d5997b6242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7" dT="2021-02-18T17:54:16.81" personId="{6AE1D766-364C-4BBC-B015-0CF2ADB99DC8}" id="{2D541410-BB0B-4D18-ADBF-B77CF6D031F6}">
    <text>delta of new hh to be covered planned in project</text>
  </threadedComment>
  <threadedComment ref="G27" dT="2021-02-18T17:55:18.09" personId="{6AE1D766-364C-4BBC-B015-0CF2ADB99DC8}" id="{00F680DD-2B4B-45BF-8B43-97F728586D49}" parentId="{2D541410-BB0B-4D18-ADBF-B77CF6D031F6}">
    <text>using 118,000 as baseline but afterwards we realized baseline value was wrong and rather 108,000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092C4-FCD7-45EE-BE65-A60175881179}">
  <dimension ref="A1:K80"/>
  <sheetViews>
    <sheetView tabSelected="1" topLeftCell="A26" workbookViewId="0">
      <selection activeCell="H45" sqref="H45:I47"/>
    </sheetView>
  </sheetViews>
  <sheetFormatPr defaultRowHeight="14.5" x14ac:dyDescent="0.35"/>
  <cols>
    <col min="1" max="1" width="13.90625" customWidth="1"/>
    <col min="2" max="2" width="47.90625" customWidth="1"/>
    <col min="3" max="3" width="27.36328125" bestFit="1" customWidth="1"/>
    <col min="4" max="4" width="21.36328125" bestFit="1" customWidth="1"/>
    <col min="5" max="5" width="19" customWidth="1"/>
    <col min="6" max="6" width="19.1796875" customWidth="1"/>
    <col min="7" max="7" width="18.54296875" bestFit="1" customWidth="1"/>
    <col min="8" max="8" width="22.1796875" customWidth="1"/>
    <col min="9" max="9" width="20.08984375" customWidth="1"/>
    <col min="10" max="10" width="12.26953125" customWidth="1"/>
  </cols>
  <sheetData>
    <row r="1" spans="1:8" x14ac:dyDescent="0.35">
      <c r="B1" t="s">
        <v>12</v>
      </c>
      <c r="C1">
        <v>0.3</v>
      </c>
    </row>
    <row r="2" spans="1:8" x14ac:dyDescent="0.35">
      <c r="B2" t="s">
        <v>60</v>
      </c>
      <c r="C2">
        <v>1.2</v>
      </c>
    </row>
    <row r="3" spans="1:8" ht="15.5" x14ac:dyDescent="0.35">
      <c r="B3" s="12" t="s">
        <v>35</v>
      </c>
      <c r="C3">
        <v>0.45</v>
      </c>
    </row>
    <row r="4" spans="1:8" ht="15.5" x14ac:dyDescent="0.35">
      <c r="B4" s="12" t="s">
        <v>67</v>
      </c>
      <c r="C4" s="5">
        <v>98388206</v>
      </c>
      <c r="D4" s="3" t="s">
        <v>66</v>
      </c>
    </row>
    <row r="5" spans="1:8" x14ac:dyDescent="0.35">
      <c r="B5" t="s">
        <v>71</v>
      </c>
      <c r="C5" s="5">
        <v>384492732</v>
      </c>
      <c r="D5" s="3" t="s">
        <v>68</v>
      </c>
    </row>
    <row r="7" spans="1:8" s="22" customFormat="1" ht="15.5" x14ac:dyDescent="0.35">
      <c r="A7" s="21" t="s">
        <v>32</v>
      </c>
    </row>
    <row r="8" spans="1:8" x14ac:dyDescent="0.35">
      <c r="C8" t="s">
        <v>13</v>
      </c>
      <c r="D8" t="s">
        <v>1</v>
      </c>
      <c r="E8" t="s">
        <v>19</v>
      </c>
      <c r="G8" t="s">
        <v>7</v>
      </c>
      <c r="H8" t="s">
        <v>10</v>
      </c>
    </row>
    <row r="9" spans="1:8" x14ac:dyDescent="0.35">
      <c r="A9">
        <v>1</v>
      </c>
      <c r="B9" t="s">
        <v>0</v>
      </c>
      <c r="C9" s="1">
        <v>162178</v>
      </c>
      <c r="D9" s="1">
        <v>122939100</v>
      </c>
      <c r="E9" s="5">
        <f>D9*$C$1</f>
        <v>36881730</v>
      </c>
      <c r="G9" t="s">
        <v>3</v>
      </c>
    </row>
    <row r="10" spans="1:8" x14ac:dyDescent="0.35">
      <c r="A10">
        <v>2</v>
      </c>
      <c r="B10" t="s">
        <v>2</v>
      </c>
      <c r="C10" s="1">
        <v>248282</v>
      </c>
      <c r="D10" s="2">
        <v>74484600</v>
      </c>
      <c r="E10" s="5">
        <f>D10*$C$1</f>
        <v>22345380</v>
      </c>
      <c r="G10" t="s">
        <v>3</v>
      </c>
    </row>
    <row r="11" spans="1:8" x14ac:dyDescent="0.35">
      <c r="A11">
        <v>3</v>
      </c>
      <c r="B11" t="s">
        <v>4</v>
      </c>
      <c r="C11" s="1">
        <v>222753</v>
      </c>
      <c r="D11" s="2">
        <v>50451335</v>
      </c>
      <c r="E11" s="5">
        <f>D11*$C$1</f>
        <v>15135400.5</v>
      </c>
      <c r="G11" t="s">
        <v>6</v>
      </c>
      <c r="H11" s="3" t="s">
        <v>8</v>
      </c>
    </row>
    <row r="12" spans="1:8" x14ac:dyDescent="0.35">
      <c r="A12">
        <v>4</v>
      </c>
      <c r="B12" t="s">
        <v>5</v>
      </c>
      <c r="C12" s="1">
        <v>154970</v>
      </c>
      <c r="D12" s="2">
        <v>14285600</v>
      </c>
      <c r="E12" s="5">
        <f>D12*$C$1</f>
        <v>4285680</v>
      </c>
      <c r="G12" t="s">
        <v>6</v>
      </c>
      <c r="H12" s="3" t="s">
        <v>8</v>
      </c>
    </row>
    <row r="13" spans="1:8" x14ac:dyDescent="0.35">
      <c r="B13" s="13" t="s">
        <v>21</v>
      </c>
      <c r="C13" s="14">
        <f>SUM(C9:C12)</f>
        <v>788183</v>
      </c>
      <c r="D13" s="14">
        <f>SUM(D9:D12)</f>
        <v>262160635</v>
      </c>
      <c r="E13" s="15">
        <f>D13*$C$1</f>
        <v>78648190.5</v>
      </c>
      <c r="H13" s="3" t="s">
        <v>17</v>
      </c>
    </row>
    <row r="14" spans="1:8" x14ac:dyDescent="0.35">
      <c r="B14" s="7"/>
      <c r="C14" s="4"/>
      <c r="D14" s="4"/>
      <c r="E14" s="6"/>
      <c r="H14" s="3"/>
    </row>
    <row r="15" spans="1:8" s="33" customFormat="1" x14ac:dyDescent="0.35">
      <c r="A15" s="33">
        <v>5</v>
      </c>
      <c r="B15" s="33" t="s">
        <v>9</v>
      </c>
      <c r="C15" s="34">
        <v>34111</v>
      </c>
      <c r="D15" s="35">
        <v>10340451.76819125</v>
      </c>
      <c r="E15" s="35">
        <f>D15*$C$1</f>
        <v>3102135.5304573751</v>
      </c>
      <c r="H15" s="33" t="s">
        <v>11</v>
      </c>
    </row>
    <row r="16" spans="1:8" x14ac:dyDescent="0.35">
      <c r="B16" s="13" t="s">
        <v>20</v>
      </c>
      <c r="C16" s="16">
        <f>C13+C15</f>
        <v>822294</v>
      </c>
      <c r="D16" s="16">
        <f>D13+D15</f>
        <v>272501086.76819128</v>
      </c>
      <c r="E16" s="16">
        <f>E13+E15</f>
        <v>81750326.030457377</v>
      </c>
    </row>
    <row r="17" spans="1:10" x14ac:dyDescent="0.35">
      <c r="B17" s="7"/>
      <c r="C17" s="8"/>
      <c r="D17" s="8"/>
      <c r="E17" s="8"/>
    </row>
    <row r="18" spans="1:10" x14ac:dyDescent="0.35">
      <c r="C18" s="8"/>
      <c r="D18" s="8"/>
      <c r="E18" s="8"/>
    </row>
    <row r="19" spans="1:10" x14ac:dyDescent="0.35">
      <c r="C19" s="8"/>
      <c r="D19" s="8"/>
      <c r="E19" s="8"/>
    </row>
    <row r="20" spans="1:10" x14ac:dyDescent="0.35">
      <c r="D20" s="2"/>
      <c r="E20" s="2"/>
    </row>
    <row r="21" spans="1:10" s="22" customFormat="1" ht="15.5" x14ac:dyDescent="0.35">
      <c r="A21" s="21" t="s">
        <v>33</v>
      </c>
    </row>
    <row r="22" spans="1:10" ht="29" x14ac:dyDescent="0.35">
      <c r="C22" t="s">
        <v>1</v>
      </c>
      <c r="D22" t="s">
        <v>19</v>
      </c>
      <c r="E22" t="s">
        <v>61</v>
      </c>
      <c r="F22" t="s">
        <v>13</v>
      </c>
      <c r="G22" s="23" t="s">
        <v>57</v>
      </c>
      <c r="H22" s="23" t="s">
        <v>58</v>
      </c>
      <c r="J22" t="s">
        <v>59</v>
      </c>
    </row>
    <row r="23" spans="1:10" x14ac:dyDescent="0.35">
      <c r="A23">
        <v>1</v>
      </c>
      <c r="B23" t="s">
        <v>0</v>
      </c>
      <c r="C23" s="1">
        <f>C34+C40</f>
        <v>89999000</v>
      </c>
      <c r="D23" s="5">
        <f>C23*$C$1</f>
        <v>26999700</v>
      </c>
      <c r="E23" s="8">
        <f>D23/$C$2</f>
        <v>22499750</v>
      </c>
      <c r="F23" s="1">
        <f>J43</f>
        <v>133934</v>
      </c>
      <c r="G23">
        <v>135000</v>
      </c>
      <c r="H23" s="32">
        <f>F23/G23</f>
        <v>0.99210370370370371</v>
      </c>
    </row>
    <row r="24" spans="1:10" x14ac:dyDescent="0.35">
      <c r="A24">
        <v>2</v>
      </c>
      <c r="B24" t="s">
        <v>2</v>
      </c>
      <c r="C24" s="2">
        <f>C35+C41</f>
        <v>72607700</v>
      </c>
      <c r="D24" s="5">
        <f>C24*$C$1</f>
        <v>21782310</v>
      </c>
      <c r="E24" s="8">
        <f>D24/$C$2</f>
        <v>18151925</v>
      </c>
      <c r="F24" s="1">
        <f>H43</f>
        <v>248303</v>
      </c>
      <c r="G24">
        <v>340000</v>
      </c>
      <c r="H24" s="32">
        <f>F24/G24</f>
        <v>0.73030294117647054</v>
      </c>
      <c r="J24" s="5">
        <f>(G24-F24)*300</f>
        <v>27509100</v>
      </c>
    </row>
    <row r="25" spans="1:10" x14ac:dyDescent="0.35">
      <c r="A25">
        <v>3</v>
      </c>
      <c r="B25" t="s">
        <v>4</v>
      </c>
      <c r="C25" s="2">
        <f>C38</f>
        <v>7932375</v>
      </c>
      <c r="D25" s="5">
        <f>C25*$C$1</f>
        <v>2379712.5</v>
      </c>
      <c r="E25" s="8">
        <f>D25/$C$2</f>
        <v>1983093.75</v>
      </c>
      <c r="F25" s="1">
        <f>F43</f>
        <v>70047</v>
      </c>
      <c r="G25" s="36">
        <v>70000</v>
      </c>
      <c r="H25" s="37">
        <f>(F25+F26)/G25</f>
        <v>1.3241571428571428</v>
      </c>
    </row>
    <row r="26" spans="1:10" x14ac:dyDescent="0.35">
      <c r="A26">
        <v>4</v>
      </c>
      <c r="B26" t="s">
        <v>5</v>
      </c>
      <c r="C26" s="2">
        <f>C37</f>
        <v>2264400</v>
      </c>
      <c r="D26" s="5">
        <f>C26*$C$1</f>
        <v>679320</v>
      </c>
      <c r="E26" s="8">
        <f>D26/$C$2</f>
        <v>566100</v>
      </c>
      <c r="F26" s="1">
        <f>G43</f>
        <v>22644</v>
      </c>
      <c r="G26" s="36"/>
      <c r="H26" s="37"/>
    </row>
    <row r="27" spans="1:10" x14ac:dyDescent="0.35">
      <c r="A27">
        <v>5</v>
      </c>
      <c r="B27" t="s">
        <v>9</v>
      </c>
      <c r="C27" s="2">
        <v>0</v>
      </c>
      <c r="D27" s="5">
        <v>0</v>
      </c>
      <c r="F27" s="1">
        <v>0</v>
      </c>
      <c r="G27">
        <f>124000-118100</f>
        <v>5900</v>
      </c>
    </row>
    <row r="28" spans="1:10" x14ac:dyDescent="0.35">
      <c r="B28" s="13" t="s">
        <v>36</v>
      </c>
      <c r="C28" s="14">
        <f>SUM(C23:C26)</f>
        <v>172803475</v>
      </c>
      <c r="D28" s="15">
        <f>C28*$C$1</f>
        <v>51841042.5</v>
      </c>
      <c r="E28" s="15">
        <f>D28/$C$2</f>
        <v>43200868.75</v>
      </c>
      <c r="F28" s="14">
        <f>SUM(F23:F27)</f>
        <v>474928</v>
      </c>
    </row>
    <row r="29" spans="1:10" x14ac:dyDescent="0.35">
      <c r="F29" s="1"/>
    </row>
    <row r="30" spans="1:10" x14ac:dyDescent="0.35">
      <c r="B30" s="7" t="s">
        <v>37</v>
      </c>
      <c r="C30" s="8"/>
      <c r="D30" s="8"/>
      <c r="E30" s="8"/>
    </row>
    <row r="31" spans="1:10" x14ac:dyDescent="0.35">
      <c r="F31" t="s">
        <v>55</v>
      </c>
    </row>
    <row r="32" spans="1:10" ht="72.5" x14ac:dyDescent="0.35">
      <c r="B32" s="7"/>
      <c r="C32" s="7" t="s">
        <v>18</v>
      </c>
      <c r="D32" s="7" t="s">
        <v>19</v>
      </c>
      <c r="E32" s="7" t="s">
        <v>61</v>
      </c>
      <c r="F32" s="7" t="s">
        <v>23</v>
      </c>
      <c r="G32" s="7" t="s">
        <v>24</v>
      </c>
      <c r="H32" s="7" t="s">
        <v>22</v>
      </c>
      <c r="I32" s="28" t="s">
        <v>56</v>
      </c>
      <c r="J32" s="29" t="s">
        <v>50</v>
      </c>
    </row>
    <row r="33" spans="1:11" x14ac:dyDescent="0.35">
      <c r="A33" t="s">
        <v>25</v>
      </c>
      <c r="B33" t="s">
        <v>27</v>
      </c>
      <c r="C33" s="11">
        <f>C34+C35</f>
        <v>38196600</v>
      </c>
      <c r="D33" s="20">
        <f>C33*$C$1</f>
        <v>11458980</v>
      </c>
      <c r="E33" s="8">
        <f>D33/$C$2</f>
        <v>9549150</v>
      </c>
      <c r="I33" s="10"/>
      <c r="J33" s="8"/>
    </row>
    <row r="34" spans="1:11" x14ac:dyDescent="0.35">
      <c r="B34" s="9" t="s">
        <v>26</v>
      </c>
      <c r="C34" s="11">
        <v>20036400</v>
      </c>
      <c r="D34" s="20">
        <f t="shared" ref="D34:D41" si="0">C34*$C$1</f>
        <v>6010920</v>
      </c>
      <c r="E34" s="8">
        <f>D34/$C$2</f>
        <v>5009100</v>
      </c>
      <c r="F34" s="17"/>
      <c r="G34" s="17"/>
      <c r="H34" s="8"/>
      <c r="I34" s="18">
        <v>90829</v>
      </c>
      <c r="J34" s="17">
        <f>'SESA UB Unique benef monitoring'!C5+'SESA UB Unique benef monitoring'!C6</f>
        <v>76108</v>
      </c>
      <c r="K34" s="3" t="s">
        <v>51</v>
      </c>
    </row>
    <row r="35" spans="1:11" x14ac:dyDescent="0.35">
      <c r="B35" s="9" t="s">
        <v>38</v>
      </c>
      <c r="C35" s="11">
        <v>18160200</v>
      </c>
      <c r="D35" s="20">
        <f t="shared" si="0"/>
        <v>5448060</v>
      </c>
      <c r="E35" s="8">
        <f t="shared" ref="E35:E41" si="1">D35/$C$2</f>
        <v>4540050</v>
      </c>
      <c r="F35" s="17"/>
      <c r="G35" s="17"/>
      <c r="H35" s="17">
        <v>66812</v>
      </c>
      <c r="I35" s="10"/>
      <c r="J35" s="17"/>
    </row>
    <row r="36" spans="1:11" x14ac:dyDescent="0.35">
      <c r="A36" t="s">
        <v>14</v>
      </c>
      <c r="B36" t="s">
        <v>29</v>
      </c>
      <c r="C36" s="11">
        <f>C37+C38</f>
        <v>10196775</v>
      </c>
      <c r="D36" s="20">
        <f t="shared" si="0"/>
        <v>3059032.5</v>
      </c>
      <c r="E36" s="8">
        <f t="shared" si="1"/>
        <v>2549193.75</v>
      </c>
      <c r="F36" s="17"/>
      <c r="G36" s="17"/>
      <c r="H36" s="17"/>
      <c r="I36" s="18"/>
      <c r="J36" s="17"/>
    </row>
    <row r="37" spans="1:11" x14ac:dyDescent="0.35">
      <c r="B37" t="s">
        <v>30</v>
      </c>
      <c r="C37" s="11">
        <v>2264400</v>
      </c>
      <c r="D37" s="20">
        <f t="shared" si="0"/>
        <v>679320</v>
      </c>
      <c r="E37" s="8">
        <f t="shared" si="1"/>
        <v>566100</v>
      </c>
      <c r="F37" s="17"/>
      <c r="G37" s="17">
        <v>22644</v>
      </c>
      <c r="H37" s="17"/>
      <c r="I37" s="18"/>
      <c r="J37" s="17"/>
    </row>
    <row r="38" spans="1:11" x14ac:dyDescent="0.35">
      <c r="B38" t="s">
        <v>31</v>
      </c>
      <c r="C38" s="11">
        <v>7932375</v>
      </c>
      <c r="D38" s="20">
        <f t="shared" si="0"/>
        <v>2379712.5</v>
      </c>
      <c r="E38" s="8">
        <f t="shared" si="1"/>
        <v>1983093.75</v>
      </c>
      <c r="F38" s="17">
        <v>70047</v>
      </c>
      <c r="G38" s="17"/>
      <c r="H38" s="17"/>
      <c r="I38" s="18"/>
      <c r="J38" s="17"/>
    </row>
    <row r="39" spans="1:11" x14ac:dyDescent="0.35">
      <c r="A39" t="s">
        <v>16</v>
      </c>
      <c r="B39" t="s">
        <v>15</v>
      </c>
      <c r="C39" s="11">
        <f>C40+C41</f>
        <v>124410100</v>
      </c>
      <c r="D39" s="20">
        <f t="shared" si="0"/>
        <v>37323030</v>
      </c>
      <c r="E39" s="8">
        <f t="shared" si="1"/>
        <v>31102525</v>
      </c>
      <c r="F39" s="17"/>
      <c r="G39" s="17"/>
      <c r="H39" s="17"/>
      <c r="I39" s="18"/>
      <c r="J39" s="17"/>
    </row>
    <row r="40" spans="1:11" x14ac:dyDescent="0.35">
      <c r="B40" s="9" t="s">
        <v>26</v>
      </c>
      <c r="C40" s="11">
        <v>69962600</v>
      </c>
      <c r="D40" s="20">
        <f t="shared" si="0"/>
        <v>20988780</v>
      </c>
      <c r="E40" s="8">
        <f t="shared" si="1"/>
        <v>17490650</v>
      </c>
      <c r="F40" s="17"/>
      <c r="G40" s="17"/>
      <c r="H40" s="17"/>
      <c r="I40" s="18">
        <v>144937</v>
      </c>
      <c r="J40" s="17">
        <f>'SESA UB Unique benef monitoring'!C7+'SESA UB Unique benef monitoring'!C8+'SESA UB Unique benef monitoring'!C9</f>
        <v>57826</v>
      </c>
      <c r="K40" s="3" t="s">
        <v>52</v>
      </c>
    </row>
    <row r="41" spans="1:11" x14ac:dyDescent="0.35">
      <c r="B41" s="9" t="s">
        <v>38</v>
      </c>
      <c r="C41" s="11">
        <v>54447500</v>
      </c>
      <c r="D41" s="20">
        <f t="shared" si="0"/>
        <v>16334250</v>
      </c>
      <c r="E41" s="8">
        <f t="shared" si="1"/>
        <v>13611875</v>
      </c>
      <c r="F41" s="17"/>
      <c r="G41" s="17"/>
      <c r="H41" s="17">
        <v>181491</v>
      </c>
      <c r="I41" s="18"/>
      <c r="J41" s="8"/>
    </row>
    <row r="42" spans="1:11" x14ac:dyDescent="0.35">
      <c r="D42" s="4"/>
      <c r="F42" s="17"/>
      <c r="G42" s="17"/>
      <c r="H42" s="17"/>
      <c r="I42" s="18"/>
      <c r="J42" s="30"/>
    </row>
    <row r="43" spans="1:11" x14ac:dyDescent="0.35">
      <c r="B43" s="13" t="s">
        <v>36</v>
      </c>
      <c r="C43" s="16">
        <f>C33+C36+C39</f>
        <v>172803475</v>
      </c>
      <c r="D43" s="16">
        <f>D33+D36+D39</f>
        <v>51841042.5</v>
      </c>
      <c r="E43" s="15">
        <f>D43/$C$2</f>
        <v>43200868.75</v>
      </c>
      <c r="F43" s="19">
        <f>F38</f>
        <v>70047</v>
      </c>
      <c r="G43" s="19">
        <f>G37</f>
        <v>22644</v>
      </c>
      <c r="H43" s="19">
        <f>H35+H41</f>
        <v>248303</v>
      </c>
      <c r="I43" s="25">
        <f>I34+I40</f>
        <v>235766</v>
      </c>
      <c r="J43" s="31">
        <f>J34+J40</f>
        <v>133934</v>
      </c>
    </row>
    <row r="45" spans="1:11" x14ac:dyDescent="0.35">
      <c r="A45" s="39" t="s">
        <v>62</v>
      </c>
      <c r="B45" t="s">
        <v>65</v>
      </c>
      <c r="C45" s="11">
        <v>40530750</v>
      </c>
      <c r="D45" s="20">
        <f>C45*$C$1</f>
        <v>12159225</v>
      </c>
      <c r="E45" s="8">
        <f>D45/$C$2</f>
        <v>10132687.5</v>
      </c>
      <c r="H45" s="8"/>
    </row>
    <row r="46" spans="1:11" x14ac:dyDescent="0.35">
      <c r="A46" s="39" t="s">
        <v>63</v>
      </c>
      <c r="B46" t="s">
        <v>64</v>
      </c>
      <c r="C46" s="11">
        <v>71714810</v>
      </c>
      <c r="D46" s="20">
        <f>C46*$C$1</f>
        <v>21514443</v>
      </c>
      <c r="E46" s="8">
        <f>D46/$C$2</f>
        <v>17928702.5</v>
      </c>
      <c r="F46" s="8"/>
      <c r="H46" s="8"/>
      <c r="I46" s="8"/>
    </row>
    <row r="47" spans="1:11" x14ac:dyDescent="0.35">
      <c r="A47" s="39"/>
      <c r="B47" s="40" t="s">
        <v>72</v>
      </c>
      <c r="C47" s="38">
        <f>SUM(C45:C46)</f>
        <v>112245560</v>
      </c>
      <c r="D47" s="38">
        <f t="shared" ref="D47:E47" si="2">SUM(D45:D46)</f>
        <v>33673668</v>
      </c>
      <c r="E47" s="15">
        <f t="shared" si="2"/>
        <v>28061390</v>
      </c>
      <c r="F47" s="8"/>
      <c r="G47" s="8"/>
      <c r="I47" s="8"/>
    </row>
    <row r="48" spans="1:11" ht="29" x14ac:dyDescent="0.35">
      <c r="B48" s="40" t="s">
        <v>69</v>
      </c>
      <c r="C48" s="38">
        <f>D48/C1</f>
        <v>108503789</v>
      </c>
      <c r="D48" s="38">
        <f>E48*C2</f>
        <v>32551136.699999999</v>
      </c>
      <c r="E48" s="15">
        <f>C4-E46-E45-E43</f>
        <v>27125947.25</v>
      </c>
      <c r="F48" s="8"/>
    </row>
    <row r="49" spans="1:6" ht="29" x14ac:dyDescent="0.35">
      <c r="B49" s="23" t="s">
        <v>70</v>
      </c>
      <c r="C49" s="8">
        <f>(C5)-C45-C46-C43</f>
        <v>99443697</v>
      </c>
      <c r="D49" s="8">
        <f>C49*C1</f>
        <v>29833109.099999998</v>
      </c>
      <c r="E49" s="8">
        <f>D49/C2</f>
        <v>24860924.25</v>
      </c>
    </row>
    <row r="51" spans="1:6" s="22" customFormat="1" ht="15.5" x14ac:dyDescent="0.35">
      <c r="A51" s="21" t="s">
        <v>34</v>
      </c>
    </row>
    <row r="52" spans="1:6" x14ac:dyDescent="0.35">
      <c r="B52" t="s">
        <v>28</v>
      </c>
    </row>
    <row r="53" spans="1:6" x14ac:dyDescent="0.35">
      <c r="C53" t="s">
        <v>1</v>
      </c>
      <c r="D53" t="s">
        <v>19</v>
      </c>
      <c r="E53" t="s">
        <v>61</v>
      </c>
    </row>
    <row r="54" spans="1:6" x14ac:dyDescent="0.35">
      <c r="A54">
        <v>1</v>
      </c>
      <c r="B54" t="s">
        <v>0</v>
      </c>
      <c r="C54" s="1">
        <f>$C$3*C23</f>
        <v>40499550</v>
      </c>
      <c r="D54" s="5">
        <f>C54*$C$1</f>
        <v>12149865</v>
      </c>
      <c r="E54" s="8">
        <f>D54/$C$2</f>
        <v>10124887.5</v>
      </c>
      <c r="F54" s="1">
        <f>$C$3*F23</f>
        <v>60270.3</v>
      </c>
    </row>
    <row r="55" spans="1:6" x14ac:dyDescent="0.35">
      <c r="A55">
        <v>2</v>
      </c>
      <c r="B55" t="s">
        <v>2</v>
      </c>
      <c r="C55" s="1">
        <f>$C$3*C24</f>
        <v>32673465</v>
      </c>
      <c r="D55" s="5">
        <f>C55*$C$1</f>
        <v>9802039.5</v>
      </c>
      <c r="E55" s="8">
        <f t="shared" ref="E55:E56" si="3">D55/$C$2</f>
        <v>8168366.25</v>
      </c>
      <c r="F55" s="1">
        <f>$C$3*F24</f>
        <v>111736.35</v>
      </c>
    </row>
    <row r="56" spans="1:6" x14ac:dyDescent="0.35">
      <c r="A56">
        <v>3</v>
      </c>
      <c r="B56" t="s">
        <v>4</v>
      </c>
      <c r="C56" s="1">
        <f>$C$3*C25</f>
        <v>3569568.75</v>
      </c>
      <c r="D56" s="5">
        <f>C56*$C$1</f>
        <v>1070870.625</v>
      </c>
      <c r="E56" s="8">
        <f t="shared" si="3"/>
        <v>892392.1875</v>
      </c>
      <c r="F56" s="1">
        <f>$C$3*F25</f>
        <v>31521.15</v>
      </c>
    </row>
    <row r="57" spans="1:6" x14ac:dyDescent="0.35">
      <c r="A57">
        <v>4</v>
      </c>
      <c r="B57" t="s">
        <v>5</v>
      </c>
      <c r="C57" s="1">
        <f>$C$3*C26</f>
        <v>1018980</v>
      </c>
      <c r="D57" s="5">
        <f>C57*$C$1</f>
        <v>305694</v>
      </c>
      <c r="E57" s="8">
        <f>D57/$C$2</f>
        <v>254745</v>
      </c>
      <c r="F57" s="1">
        <f>$C$3*F26</f>
        <v>10189.800000000001</v>
      </c>
    </row>
    <row r="58" spans="1:6" x14ac:dyDescent="0.35">
      <c r="A58">
        <v>5</v>
      </c>
      <c r="B58" t="s">
        <v>9</v>
      </c>
      <c r="C58" s="1">
        <f>$C$3*C27</f>
        <v>0</v>
      </c>
      <c r="D58" s="5">
        <v>0</v>
      </c>
    </row>
    <row r="59" spans="1:6" x14ac:dyDescent="0.35">
      <c r="B59" s="13" t="s">
        <v>36</v>
      </c>
      <c r="C59" s="14">
        <f>SUM(C54:C57)</f>
        <v>77761563.75</v>
      </c>
      <c r="D59" s="15">
        <f>C59*$C$1</f>
        <v>23328469.125</v>
      </c>
      <c r="E59" s="15">
        <f>D59/$C$2</f>
        <v>19440390.9375</v>
      </c>
      <c r="F59" s="14">
        <f>SUM(F54:F57)</f>
        <v>213717.6</v>
      </c>
    </row>
    <row r="61" spans="1:6" x14ac:dyDescent="0.35">
      <c r="B61" s="7" t="s">
        <v>37</v>
      </c>
    </row>
    <row r="63" spans="1:6" x14ac:dyDescent="0.35">
      <c r="B63" s="7"/>
      <c r="C63" s="7" t="s">
        <v>18</v>
      </c>
      <c r="D63" s="7" t="s">
        <v>19</v>
      </c>
      <c r="E63" s="7"/>
    </row>
    <row r="64" spans="1:6" x14ac:dyDescent="0.35">
      <c r="A64" t="s">
        <v>25</v>
      </c>
      <c r="B64" t="s">
        <v>27</v>
      </c>
      <c r="C64" s="11">
        <f>$C$3*C33</f>
        <v>17188470</v>
      </c>
      <c r="D64" s="20">
        <f>C64*$C$1</f>
        <v>5156541</v>
      </c>
    </row>
    <row r="65" spans="1:5" x14ac:dyDescent="0.35">
      <c r="B65" s="9" t="s">
        <v>26</v>
      </c>
      <c r="C65" s="11">
        <f>$C$3*C34</f>
        <v>9016380</v>
      </c>
      <c r="D65" s="20">
        <f t="shared" ref="D65:D72" si="4">C65*$C$1</f>
        <v>2704914</v>
      </c>
      <c r="E65" s="17"/>
    </row>
    <row r="66" spans="1:5" x14ac:dyDescent="0.35">
      <c r="B66" s="9" t="s">
        <v>38</v>
      </c>
      <c r="C66" s="11">
        <f>$C$3*C35</f>
        <v>8172090</v>
      </c>
      <c r="D66" s="20">
        <f t="shared" si="4"/>
        <v>2451627</v>
      </c>
      <c r="E66" s="17"/>
    </row>
    <row r="67" spans="1:5" x14ac:dyDescent="0.35">
      <c r="A67" t="s">
        <v>14</v>
      </c>
      <c r="B67" t="s">
        <v>29</v>
      </c>
      <c r="C67" s="11">
        <f>$C$3*C36</f>
        <v>4588548.75</v>
      </c>
      <c r="D67" s="20">
        <f t="shared" si="4"/>
        <v>1376564.625</v>
      </c>
      <c r="E67" s="17"/>
    </row>
    <row r="68" spans="1:5" x14ac:dyDescent="0.35">
      <c r="B68" t="s">
        <v>30</v>
      </c>
      <c r="C68" s="11">
        <f>$C$3*C37</f>
        <v>1018980</v>
      </c>
      <c r="D68" s="20">
        <f t="shared" si="4"/>
        <v>305694</v>
      </c>
      <c r="E68" s="17"/>
    </row>
    <row r="69" spans="1:5" x14ac:dyDescent="0.35">
      <c r="B69" t="s">
        <v>31</v>
      </c>
      <c r="C69" s="11">
        <f>$C$3*C38</f>
        <v>3569568.75</v>
      </c>
      <c r="D69" s="20">
        <f t="shared" si="4"/>
        <v>1070870.625</v>
      </c>
      <c r="E69" s="17"/>
    </row>
    <row r="70" spans="1:5" x14ac:dyDescent="0.35">
      <c r="A70" t="s">
        <v>16</v>
      </c>
      <c r="B70" t="s">
        <v>15</v>
      </c>
      <c r="C70" s="11">
        <f>$C$3*C39</f>
        <v>55984545</v>
      </c>
      <c r="D70" s="20">
        <f t="shared" si="4"/>
        <v>16795363.5</v>
      </c>
      <c r="E70" s="17"/>
    </row>
    <row r="71" spans="1:5" x14ac:dyDescent="0.35">
      <c r="B71" s="9" t="s">
        <v>26</v>
      </c>
      <c r="C71" s="11">
        <f>$C$3*C40</f>
        <v>31483170</v>
      </c>
      <c r="D71" s="20">
        <f t="shared" si="4"/>
        <v>9444951</v>
      </c>
      <c r="E71" s="17"/>
    </row>
    <row r="72" spans="1:5" x14ac:dyDescent="0.35">
      <c r="B72" s="9" t="s">
        <v>38</v>
      </c>
      <c r="C72" s="11">
        <f>$C$3*C41</f>
        <v>24501375</v>
      </c>
      <c r="D72" s="20">
        <f t="shared" si="4"/>
        <v>7350412.5</v>
      </c>
      <c r="E72" s="17"/>
    </row>
    <row r="73" spans="1:5" x14ac:dyDescent="0.35">
      <c r="D73" s="4"/>
      <c r="E73" s="17"/>
    </row>
    <row r="74" spans="1:5" x14ac:dyDescent="0.35">
      <c r="B74" s="13" t="s">
        <v>36</v>
      </c>
      <c r="C74" s="16">
        <f>C64+C67+C70</f>
        <v>77761563.75</v>
      </c>
      <c r="D74" s="16">
        <f>D64+D67+D70</f>
        <v>23328469.125</v>
      </c>
      <c r="E74" s="19"/>
    </row>
    <row r="76" spans="1:5" x14ac:dyDescent="0.35">
      <c r="A76" s="39" t="s">
        <v>62</v>
      </c>
      <c r="B76" t="s">
        <v>65</v>
      </c>
      <c r="C76" s="11">
        <f>$C$3*C45</f>
        <v>18238837.5</v>
      </c>
      <c r="D76" s="11">
        <f>$C$3*D45</f>
        <v>5471651.25</v>
      </c>
      <c r="E76" s="11">
        <f>$C$3*E45</f>
        <v>4559709.375</v>
      </c>
    </row>
    <row r="77" spans="1:5" x14ac:dyDescent="0.35">
      <c r="A77" s="39" t="s">
        <v>63</v>
      </c>
      <c r="B77" t="s">
        <v>64</v>
      </c>
      <c r="C77" s="11">
        <f>$C$3*C46</f>
        <v>32271664.5</v>
      </c>
      <c r="D77" s="11">
        <f>$C$3*D46</f>
        <v>9681499.3499999996</v>
      </c>
      <c r="E77" s="11">
        <f>$C$3*E46</f>
        <v>8067916.125</v>
      </c>
    </row>
    <row r="78" spans="1:5" x14ac:dyDescent="0.35">
      <c r="A78" s="39"/>
      <c r="B78" s="40" t="s">
        <v>72</v>
      </c>
      <c r="C78" s="38">
        <f>$C$3*C47</f>
        <v>50510502</v>
      </c>
      <c r="D78" s="38">
        <f>$C$3*D47</f>
        <v>15153150.6</v>
      </c>
      <c r="E78" s="38">
        <f>$C$3*E47</f>
        <v>12627625.5</v>
      </c>
    </row>
    <row r="79" spans="1:5" ht="29" x14ac:dyDescent="0.35">
      <c r="B79" s="40" t="s">
        <v>69</v>
      </c>
      <c r="C79" s="38">
        <f>$C$3*C48</f>
        <v>48826705.050000004</v>
      </c>
      <c r="D79" s="38">
        <f t="shared" ref="D79:E79" si="5">$C$3*D48</f>
        <v>14648011.515000001</v>
      </c>
      <c r="E79" s="38">
        <f>$C$3*E48</f>
        <v>12206676.262500001</v>
      </c>
    </row>
    <row r="80" spans="1:5" ht="29" x14ac:dyDescent="0.35">
      <c r="B80" s="23" t="s">
        <v>70</v>
      </c>
      <c r="C80" s="8">
        <f>(C5*C3)-C76-C77-C74</f>
        <v>44749663.650000006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FA1B-2838-4C05-9FA9-C25C94326CE0}">
  <dimension ref="A2:H13"/>
  <sheetViews>
    <sheetView workbookViewId="0">
      <selection activeCell="C5" sqref="C5"/>
    </sheetView>
  </sheetViews>
  <sheetFormatPr defaultRowHeight="14.5" x14ac:dyDescent="0.35"/>
  <cols>
    <col min="1" max="2" width="12.1796875" customWidth="1"/>
    <col min="3" max="3" width="15" bestFit="1" customWidth="1"/>
    <col min="4" max="4" width="15.81640625" customWidth="1"/>
    <col min="7" max="7" width="19.1796875" customWidth="1"/>
    <col min="8" max="8" width="17.6328125" customWidth="1"/>
  </cols>
  <sheetData>
    <row r="2" spans="1:8" x14ac:dyDescent="0.35">
      <c r="A2" s="7" t="s">
        <v>39</v>
      </c>
    </row>
    <row r="3" spans="1:8" x14ac:dyDescent="0.35">
      <c r="A3" s="7"/>
    </row>
    <row r="4" spans="1:8" s="23" customFormat="1" ht="43.5" x14ac:dyDescent="0.35">
      <c r="A4" s="24" t="s">
        <v>40</v>
      </c>
      <c r="B4" s="26" t="s">
        <v>41</v>
      </c>
      <c r="C4" s="24" t="s">
        <v>54</v>
      </c>
      <c r="D4" s="24" t="s">
        <v>49</v>
      </c>
      <c r="E4" s="24"/>
      <c r="F4" s="26"/>
      <c r="G4" s="24" t="s">
        <v>47</v>
      </c>
      <c r="H4" s="24" t="s">
        <v>48</v>
      </c>
    </row>
    <row r="5" spans="1:8" x14ac:dyDescent="0.35">
      <c r="A5">
        <v>6</v>
      </c>
      <c r="B5" s="3" t="s">
        <v>14</v>
      </c>
      <c r="C5" s="17">
        <v>47060</v>
      </c>
      <c r="D5" s="17">
        <f>C5</f>
        <v>47060</v>
      </c>
      <c r="F5" s="27" t="s">
        <v>14</v>
      </c>
      <c r="G5" s="5">
        <f>C5*200</f>
        <v>9412000</v>
      </c>
      <c r="H5" s="5"/>
    </row>
    <row r="6" spans="1:8" x14ac:dyDescent="0.35">
      <c r="A6">
        <v>5</v>
      </c>
      <c r="B6" s="3" t="s">
        <v>42</v>
      </c>
      <c r="C6" s="17">
        <v>29048</v>
      </c>
      <c r="D6" s="17">
        <f>D5+C6</f>
        <v>76108</v>
      </c>
      <c r="F6" s="27" t="s">
        <v>42</v>
      </c>
      <c r="G6" s="5">
        <f>SUM(C5:C6)*200</f>
        <v>15221600</v>
      </c>
      <c r="H6" s="5">
        <f>G6+G5</f>
        <v>24633600</v>
      </c>
    </row>
    <row r="7" spans="1:8" x14ac:dyDescent="0.35">
      <c r="A7">
        <v>4</v>
      </c>
      <c r="B7" s="3" t="s">
        <v>43</v>
      </c>
      <c r="C7" s="17">
        <v>14539</v>
      </c>
      <c r="D7" s="17">
        <f t="shared" ref="D7:D10" si="0">D6+C7</f>
        <v>90647</v>
      </c>
      <c r="F7" s="27" t="s">
        <v>43</v>
      </c>
      <c r="G7" s="5">
        <f>SUM(C5:C7)*200</f>
        <v>18129400</v>
      </c>
      <c r="H7" s="5">
        <f>H6+G7</f>
        <v>42763000</v>
      </c>
    </row>
    <row r="8" spans="1:8" x14ac:dyDescent="0.35">
      <c r="A8">
        <v>3</v>
      </c>
      <c r="B8" s="3" t="s">
        <v>44</v>
      </c>
      <c r="C8" s="17">
        <v>14816</v>
      </c>
      <c r="D8" s="17">
        <f t="shared" si="0"/>
        <v>105463</v>
      </c>
      <c r="F8" s="27" t="s">
        <v>44</v>
      </c>
      <c r="G8" s="5">
        <f>SUM(C5:C8)*200</f>
        <v>21092600</v>
      </c>
      <c r="H8" s="5">
        <f t="shared" ref="H8:H10" si="1">H7+G8</f>
        <v>63855600</v>
      </c>
    </row>
    <row r="9" spans="1:8" x14ac:dyDescent="0.35">
      <c r="A9">
        <v>2</v>
      </c>
      <c r="B9" s="3" t="s">
        <v>45</v>
      </c>
      <c r="C9" s="17">
        <v>28471</v>
      </c>
      <c r="D9" s="17">
        <f t="shared" si="0"/>
        <v>133934</v>
      </c>
      <c r="F9" s="27" t="s">
        <v>45</v>
      </c>
      <c r="G9" s="5">
        <f>SUM(C5:C9)*200</f>
        <v>26786800</v>
      </c>
      <c r="H9" s="5">
        <f t="shared" si="1"/>
        <v>90642400</v>
      </c>
    </row>
    <row r="10" spans="1:8" x14ac:dyDescent="0.35">
      <c r="A10">
        <v>1</v>
      </c>
      <c r="B10" s="3" t="s">
        <v>46</v>
      </c>
      <c r="C10" s="17">
        <v>28244</v>
      </c>
      <c r="D10" s="17">
        <f t="shared" si="0"/>
        <v>162178</v>
      </c>
      <c r="F10" s="27" t="s">
        <v>46</v>
      </c>
      <c r="G10" s="5">
        <f>SUM(C5:C10)*200</f>
        <v>32435600</v>
      </c>
      <c r="H10" s="5">
        <f t="shared" si="1"/>
        <v>123078000</v>
      </c>
    </row>
    <row r="13" spans="1:8" x14ac:dyDescent="0.35">
      <c r="A13" s="7" t="s">
        <v>53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507D95EA16941A218DE71E33A8135" ma:contentTypeVersion="13" ma:contentTypeDescription="Create a new document." ma:contentTypeScope="" ma:versionID="aae14e925a21d2840c008b3598606e78">
  <xsd:schema xmlns:xsd="http://www.w3.org/2001/XMLSchema" xmlns:xs="http://www.w3.org/2001/XMLSchema" xmlns:p="http://schemas.microsoft.com/office/2006/metadata/properties" xmlns:ns3="cf89ca73-df50-446e-a0eb-12b8b1ce8d77" xmlns:ns4="21747ebf-91ba-4abb-ad09-b0273a7bd8b4" targetNamespace="http://schemas.microsoft.com/office/2006/metadata/properties" ma:root="true" ma:fieldsID="87ba3bcf2dafb78227aff9510824aa2b" ns3:_="" ns4:_="">
    <xsd:import namespace="cf89ca73-df50-446e-a0eb-12b8b1ce8d77"/>
    <xsd:import namespace="21747ebf-91ba-4abb-ad09-b0273a7bd8b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9ca73-df50-446e-a0eb-12b8b1ce8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47ebf-91ba-4abb-ad09-b0273a7bd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59A4E1-34A9-4553-9AAD-D255E76B90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D8A414-32EF-4E18-A75B-673F00B3D7C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8AF2140-7636-44EC-BC52-D265222E6D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89ca73-df50-446e-a0eb-12b8b1ce8d77"/>
    <ds:schemaRef ds:uri="21747ebf-91ba-4abb-ad09-b0273a7bd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Monitoring disbursements benef</vt:lpstr>
      <vt:lpstr>SESA UB Unique benef monitoring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Alicia Marguerie</dc:creator>
  <cp:lastModifiedBy>Alicia C. Marguerie</cp:lastModifiedBy>
  <dcterms:created xsi:type="dcterms:W3CDTF">2020-12-16T20:19:30Z</dcterms:created>
  <dcterms:modified xsi:type="dcterms:W3CDTF">2021-02-19T20:28:10Z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0x010100DBC507D95EA16941A218DE71E33A8135</vt:lpwstr>
  </property>
</Properties>
</file>