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ninokvernadze\Desktop\"/>
    </mc:Choice>
  </mc:AlternateContent>
  <bookViews>
    <workbookView xWindow="0" yWindow="0" windowWidth="28800" windowHeight="11400" tabRatio="633"/>
  </bookViews>
  <sheets>
    <sheet name="TOTAL " sheetId="24" r:id="rId1"/>
    <sheet name=" GOODS I" sheetId="22" r:id="rId2"/>
    <sheet name=" WORKS I" sheetId="21" r:id="rId3"/>
    <sheet name=" CS I " sheetId="23" r:id="rId4"/>
    <sheet name="CS COMP.III" sheetId="15" r:id="rId5"/>
    <sheet name="signed contracts" sheetId="26" r:id="rId6"/>
  </sheets>
  <definedNames>
    <definedName name="_xlnm._FilterDatabase" localSheetId="5" hidden="1">'signed contracts'!$A$1:$R$50</definedName>
    <definedName name="_xlnm.Print_Area" localSheetId="2">' WORKS I'!$A$1:$O$7</definedName>
    <definedName name="_xlnm.Print_Area" localSheetId="5">'signed contracts'!$A$1:$S$56</definedName>
    <definedName name="_xlnm.Print_Area" localSheetId="0">'TOTAL '!$A$1:$H$31</definedName>
  </definedNames>
  <calcPr calcId="152511"/>
</workbook>
</file>

<file path=xl/calcChain.xml><?xml version="1.0" encoding="utf-8"?>
<calcChain xmlns="http://schemas.openxmlformats.org/spreadsheetml/2006/main">
  <c r="G28" i="24" l="1"/>
  <c r="C6" i="24"/>
  <c r="C21" i="24"/>
  <c r="C13" i="24"/>
  <c r="D28" i="24"/>
  <c r="L9" i="23"/>
  <c r="F67" i="22"/>
  <c r="C10" i="24"/>
  <c r="F53" i="22"/>
  <c r="F48" i="22"/>
  <c r="C8" i="24"/>
  <c r="Q36" i="26" l="1"/>
  <c r="O36" i="26"/>
  <c r="K54" i="26" l="1"/>
  <c r="L55" i="26"/>
  <c r="L53" i="26"/>
  <c r="J53" i="26"/>
  <c r="P67" i="22" l="1"/>
  <c r="P72" i="22"/>
  <c r="P63" i="22"/>
  <c r="O49" i="26"/>
  <c r="O48" i="26"/>
  <c r="F24" i="22"/>
  <c r="P25" i="22" l="1"/>
  <c r="P26" i="22" l="1"/>
  <c r="D8" i="24" s="1"/>
  <c r="O47" i="26"/>
  <c r="L12" i="15"/>
  <c r="O46" i="26"/>
  <c r="N18" i="26" l="1"/>
  <c r="O27" i="26"/>
  <c r="C11" i="24" l="1"/>
  <c r="F54" i="22" s="1"/>
  <c r="N10" i="26" l="1"/>
  <c r="N44" i="26" l="1"/>
  <c r="P44" i="26" s="1"/>
  <c r="O40" i="26" l="1"/>
  <c r="O23" i="26"/>
  <c r="C9" i="24" l="1"/>
  <c r="P51" i="22" l="1"/>
  <c r="P53" i="22" s="1"/>
  <c r="O41" i="26" l="1"/>
  <c r="F7" i="21"/>
  <c r="D10" i="24"/>
  <c r="O17" i="26"/>
  <c r="P39" i="22"/>
  <c r="P38" i="22"/>
  <c r="F20" i="22"/>
  <c r="P14" i="22"/>
  <c r="L10" i="15"/>
  <c r="C24" i="24" l="1"/>
  <c r="P17" i="22" l="1"/>
  <c r="P20" i="22" s="1"/>
  <c r="O25" i="26"/>
  <c r="O21" i="26"/>
  <c r="O14" i="26"/>
  <c r="O22" i="26"/>
  <c r="O35" i="26"/>
  <c r="M21" i="26"/>
  <c r="M22" i="26"/>
  <c r="O15" i="26"/>
  <c r="K15" i="26"/>
  <c r="M13" i="26" l="1"/>
  <c r="M37" i="26" l="1"/>
  <c r="M20" i="26"/>
  <c r="F49" i="22" l="1"/>
  <c r="F61" i="22" l="1"/>
  <c r="F60" i="22"/>
  <c r="F59" i="22"/>
  <c r="F58" i="22" l="1"/>
  <c r="F8" i="22" l="1"/>
  <c r="F10" i="22"/>
  <c r="F9" i="22"/>
  <c r="F7" i="22" l="1"/>
  <c r="F11" i="22" s="1"/>
  <c r="P3" i="22"/>
  <c r="P11" i="22" s="1"/>
  <c r="G5" i="24" l="1"/>
  <c r="M29" i="26" l="1"/>
  <c r="K10" i="26"/>
  <c r="N11" i="26"/>
  <c r="N9" i="26"/>
  <c r="N7" i="26"/>
  <c r="N6" i="26"/>
  <c r="N5" i="26"/>
  <c r="N4" i="26"/>
  <c r="N3" i="26"/>
  <c r="N2" i="26"/>
  <c r="M10" i="26" l="1"/>
  <c r="Q44" i="26"/>
  <c r="R45" i="26"/>
  <c r="C12" i="24"/>
  <c r="O4" i="22" l="1"/>
  <c r="F68" i="22" l="1"/>
  <c r="G10" i="24" l="1"/>
  <c r="F10" i="24" s="1"/>
  <c r="H10" i="24" s="1"/>
  <c r="E10" i="24" l="1"/>
  <c r="P33" i="22"/>
  <c r="P48" i="22" l="1"/>
  <c r="D9" i="24" s="1"/>
  <c r="D6" i="24"/>
  <c r="E12" i="15"/>
  <c r="G29" i="24" s="1"/>
  <c r="L8" i="15"/>
  <c r="L7" i="15"/>
  <c r="L6" i="15"/>
  <c r="L5" i="15"/>
  <c r="L4" i="15"/>
  <c r="L3" i="15"/>
  <c r="E2" i="15"/>
  <c r="C22" i="24"/>
  <c r="E9" i="23"/>
  <c r="G21" i="24" s="1"/>
  <c r="D21" i="24"/>
  <c r="E2" i="23"/>
  <c r="F3" i="21"/>
  <c r="O7" i="21"/>
  <c r="D17" i="24" s="1"/>
  <c r="E17" i="24" s="1"/>
  <c r="G17" i="24"/>
  <c r="D22" i="24" l="1"/>
  <c r="F21" i="24"/>
  <c r="F22" i="24" s="1"/>
  <c r="F28" i="24"/>
  <c r="F29" i="24" s="1"/>
  <c r="G22" i="24"/>
  <c r="G6" i="24"/>
  <c r="F6" i="24" s="1"/>
  <c r="F72" i="22"/>
  <c r="G13" i="24" s="1"/>
  <c r="D13" i="24"/>
  <c r="C14" i="24"/>
  <c r="D11" i="24"/>
  <c r="G12" i="24"/>
  <c r="D12" i="24"/>
  <c r="F64" i="22"/>
  <c r="F27" i="22"/>
  <c r="F21" i="22"/>
  <c r="F12" i="22"/>
  <c r="F2" i="22"/>
  <c r="F26" i="22"/>
  <c r="G8" i="24" s="1"/>
  <c r="F8" i="24" s="1"/>
  <c r="E8" i="24"/>
  <c r="P23" i="22"/>
  <c r="D7" i="24" s="1"/>
  <c r="F23" i="22"/>
  <c r="G7" i="24" s="1"/>
  <c r="F13" i="24" l="1"/>
  <c r="E11" i="24"/>
  <c r="G9" i="24"/>
  <c r="F9" i="24" s="1"/>
  <c r="E13" i="24"/>
  <c r="F12" i="24"/>
  <c r="F7" i="24"/>
  <c r="E9" i="24" l="1"/>
  <c r="D5" i="24"/>
  <c r="C29" i="24"/>
  <c r="D29" i="24"/>
  <c r="E21" i="24"/>
  <c r="E22" i="24" s="1"/>
  <c r="C18" i="24"/>
  <c r="D18" i="24"/>
  <c r="C31" i="24" l="1"/>
  <c r="C2" i="24" s="1"/>
  <c r="D14" i="24"/>
  <c r="D31" i="24" s="1"/>
  <c r="F5" i="24"/>
  <c r="E28" i="24"/>
  <c r="E29" i="24" s="1"/>
  <c r="E18" i="24"/>
  <c r="G18" i="24"/>
  <c r="F17" i="24" l="1"/>
  <c r="F18" i="24" s="1"/>
  <c r="F63" i="22" l="1"/>
  <c r="G11" i="24" s="1"/>
  <c r="F11" i="24" s="1"/>
  <c r="E7" i="24"/>
  <c r="E12" i="24"/>
  <c r="E5" i="24" l="1"/>
  <c r="E6" i="24" l="1"/>
  <c r="E14" i="24" l="1"/>
  <c r="E31" i="24" s="1"/>
  <c r="D2" i="24" s="1"/>
  <c r="E2" i="24" s="1"/>
  <c r="G14" i="24"/>
  <c r="F14" i="24"/>
</calcChain>
</file>

<file path=xl/sharedStrings.xml><?xml version="1.0" encoding="utf-8"?>
<sst xmlns="http://schemas.openxmlformats.org/spreadsheetml/2006/main" count="983" uniqueCount="482">
  <si>
    <t>Activity  Reference No. / Description:</t>
  </si>
  <si>
    <t>Direct</t>
  </si>
  <si>
    <t>Limited</t>
  </si>
  <si>
    <t>Consultant Services</t>
  </si>
  <si>
    <t>COVID19/CS/CDS-02 / Technical Assistance for post crises COVID-19 strategy for Health Sector - Assistant Consultant</t>
  </si>
  <si>
    <t>COVID19/CS/CDS-01 / Technical Assistance for post-crises COVID-19 strategy for Health Sector - Lead Consultant</t>
  </si>
  <si>
    <t>COVID19/CS/INDV-01 / Procurement Manager</t>
  </si>
  <si>
    <t>COVID19/CS/INDV-03 / Procurement Specialist</t>
  </si>
  <si>
    <t>COVID19/CS/INDV-04 / Health Specialist</t>
  </si>
  <si>
    <t>COVID19/CS/INDV-02 / Financial Manager</t>
  </si>
  <si>
    <t>COVID19/CS/INDV-05 / Social Standards Specialist</t>
  </si>
  <si>
    <t>COVID19/G/DC-09 / Procurement of Qiagen RNA Mini Kit</t>
  </si>
  <si>
    <t>COVID19/G/DC-03 / Procurement of Mobile Emergency Ventilators and Related Services</t>
  </si>
  <si>
    <t>COVID19/CW/RFB-01 / Repair works of public health facilities</t>
  </si>
  <si>
    <t>Open - National</t>
  </si>
  <si>
    <t/>
  </si>
  <si>
    <t>COVID19/G/DC-02 / Procurement of Critical Care Ventilators and Related Services</t>
  </si>
  <si>
    <t>Project Management</t>
  </si>
  <si>
    <t>COVID19/CS/INDV-06 / Environmental Standards Specialist</t>
  </si>
  <si>
    <t>Component 1. Emergency COVID-19 Response</t>
  </si>
  <si>
    <t>1. Procurement of Personal Protective Equipment</t>
  </si>
  <si>
    <t>2. COVID19/G/DC-06 / Procurement of Hospital Equipment for four dedicated COVID-19 clinics: Rukhi Hospital, Batumi Hospital, Lisi Hospital and Infectious Disease Hospital</t>
  </si>
  <si>
    <t>5. COVID19/G/DC-07 / Procurement of Diagnostic Supplies</t>
  </si>
  <si>
    <t>6. COVID19/G/RFQ-02 / Procurement of Equipment for Emergency Control Center</t>
  </si>
  <si>
    <t>7. COVID19/G/RFQ-07 / Procurement of ICT goods for public health facilities</t>
  </si>
  <si>
    <t>RFQ</t>
  </si>
  <si>
    <t>COVID19/G/DC-08 / Procurement of In Vitro Diagnostic Medical Device (cobas)</t>
  </si>
  <si>
    <t>3. COVID19/G/RFQ-03 / Procurement of Motorcycle for ambulance first responders with helmets</t>
  </si>
  <si>
    <t xml:space="preserve">Cost estimate   (USD) </t>
  </si>
  <si>
    <t xml:space="preserve">TOTAL </t>
  </si>
  <si>
    <t>1.COVID19/G/DC-05  Procurement of Personal Protective Equipment</t>
  </si>
  <si>
    <t>UNCOMITTED</t>
  </si>
  <si>
    <t>Remaining funds</t>
  </si>
  <si>
    <t xml:space="preserve">ACTUALS (contracted) </t>
  </si>
  <si>
    <t>SUM</t>
  </si>
  <si>
    <t>15 motor Motor Vehicles for Infectious Control Monitoring Center</t>
  </si>
  <si>
    <t xml:space="preserve">GOODS </t>
  </si>
  <si>
    <t xml:space="preserve">WORKS </t>
  </si>
  <si>
    <t xml:space="preserve">Outstanding amount (USD) </t>
  </si>
  <si>
    <t xml:space="preserve">Kutaisi  Emergency Coordination and Emergency Assistance Center  </t>
  </si>
  <si>
    <t>Motorcycle for ambulance first responders with helmets</t>
  </si>
  <si>
    <t xml:space="preserve">Financial manager </t>
  </si>
  <si>
    <t>Health specialist</t>
  </si>
  <si>
    <t>Procurement specialist</t>
  </si>
  <si>
    <t xml:space="preserve">CONSULTANCY SERVICE Component  III </t>
  </si>
  <si>
    <t xml:space="preserve">SUM </t>
  </si>
  <si>
    <t xml:space="preserve">PIU </t>
  </si>
  <si>
    <t xml:space="preserve">Component 3. Project Management and Monitoring </t>
  </si>
  <si>
    <t xml:space="preserve">   Component 1. Emergency COVID-19 Response    and Component 3. Project Management and Monitoring </t>
  </si>
  <si>
    <t xml:space="preserve">Component 1. Emergency COVID-19 Response          </t>
  </si>
  <si>
    <t>Goggles, protective</t>
  </si>
  <si>
    <t xml:space="preserve">Direct </t>
  </si>
  <si>
    <t>Tbilisi</t>
  </si>
  <si>
    <t>O.Chkhobadze Disabled and Elderly Medical Rehabilitation Clinical Center</t>
  </si>
  <si>
    <t xml:space="preserve">9. Equipment for Primary Care Facilities </t>
  </si>
  <si>
    <t xml:space="preserve">Ammendments </t>
  </si>
  <si>
    <t>Delivery Date as defined by Incoterms</t>
  </si>
  <si>
    <t>Quantity required Quantity and physical unit</t>
  </si>
  <si>
    <t xml:space="preserve">Manufacturer’s Authorization /country of Origin </t>
  </si>
  <si>
    <t>Applicable Incoterms / Consignee</t>
  </si>
  <si>
    <t xml:space="preserve">Type of procurement </t>
  </si>
  <si>
    <t xml:space="preserve">Contract  N/ signed dated </t>
  </si>
  <si>
    <t xml:space="preserve">Unit price </t>
  </si>
  <si>
    <t xml:space="preserve">Commander Health Supply </t>
  </si>
  <si>
    <t>Commander -001/ 10.07.2020</t>
  </si>
  <si>
    <t xml:space="preserve">China </t>
  </si>
  <si>
    <t xml:space="preserve">CIP </t>
  </si>
  <si>
    <t>GOWN Disposable</t>
  </si>
  <si>
    <t>FACE SHIELD, clear plastic, disp.</t>
  </si>
  <si>
    <t>Boot covers with bio protection</t>
  </si>
  <si>
    <t>Estimated Quantity 
 /pland</t>
  </si>
  <si>
    <t xml:space="preserve">Actual Total Price per Line item 
(Col. 7+8)
</t>
  </si>
  <si>
    <t>Estimated Amount
 (US$)/pland/</t>
  </si>
  <si>
    <t>Omni Gene oral  from microbial DNA and RNA</t>
  </si>
  <si>
    <t xml:space="preserve">Estimate supplier  </t>
  </si>
  <si>
    <t>RFB</t>
  </si>
  <si>
    <t xml:space="preserve">Remaining funds after contracting </t>
  </si>
  <si>
    <t xml:space="preserve">Conultant  name </t>
  </si>
  <si>
    <t xml:space="preserve">Contractors name </t>
  </si>
  <si>
    <t>Translator</t>
  </si>
  <si>
    <t>Interpreter</t>
  </si>
  <si>
    <t xml:space="preserve">Amendment N2 </t>
  </si>
  <si>
    <t>within 30 days from date of issues of Preproduction Inspection Report</t>
  </si>
  <si>
    <t xml:space="preserve">DNA Genetic </t>
  </si>
  <si>
    <t xml:space="preserve">Planned </t>
  </si>
  <si>
    <t>JV Biogene LTD and Green Lab LTD</t>
  </si>
  <si>
    <t>5, 20 USD</t>
  </si>
  <si>
    <t xml:space="preserve">100 000 </t>
  </si>
  <si>
    <t>Until  August 5, 2020</t>
  </si>
  <si>
    <t xml:space="preserve">Amendment N1 </t>
  </si>
  <si>
    <t>Standard COVID-19 AG Test</t>
  </si>
  <si>
    <t>CIP / (NCDC)</t>
  </si>
  <si>
    <t>SD BIOSENSOR</t>
  </si>
  <si>
    <t>Delivered</t>
  </si>
  <si>
    <t xml:space="preserve">Prima Medi LTD </t>
  </si>
  <si>
    <t xml:space="preserve">COVID19/G/DC-09 01/07/2020 </t>
  </si>
  <si>
    <t xml:space="preserve">250 Packs </t>
  </si>
  <si>
    <t xml:space="preserve">4 200, 00 GEL </t>
  </si>
  <si>
    <t>DDP/ (NCDC)</t>
  </si>
  <si>
    <t xml:space="preserve"> Rapid COVID-19 Test Cassette</t>
  </si>
  <si>
    <t xml:space="preserve">Procurement of Standard COVID-19 Antigen Tests </t>
  </si>
  <si>
    <t>Thermos Scientifics COVID-19 tests</t>
  </si>
  <si>
    <t>CHINA</t>
  </si>
  <si>
    <t xml:space="preserve">COVID19/G/DC-04 
</t>
  </si>
  <si>
    <t>COVID19/G/DC-01 17/05/2020</t>
  </si>
  <si>
    <t xml:space="preserve">USA </t>
  </si>
  <si>
    <t>Xpert Xpress SARS-CoV-2 kit/10 tests</t>
  </si>
  <si>
    <t>2000 packs</t>
  </si>
  <si>
    <t>COVID19/G/UN-01  
03/07/2020</t>
  </si>
  <si>
    <t xml:space="preserve">ABM LTD </t>
  </si>
  <si>
    <t>COVID19/G/DC-10
01/07/2020</t>
  </si>
  <si>
    <t>UNICEF</t>
  </si>
  <si>
    <t>1st delivery 21.07 2020 
2nd delivery 21.08.2020
3rd delivery  21.09.2020
4th delivery 21.10.2020</t>
  </si>
  <si>
    <t xml:space="preserve">Singed contract/Suppliers Name </t>
  </si>
  <si>
    <t xml:space="preserve">GRIFOLS </t>
  </si>
  <si>
    <t>DDP  / (NCDC)</t>
  </si>
  <si>
    <t>GeneMATRIX Viral RNA/DNA
Purification Kit (100 detection</t>
  </si>
  <si>
    <t xml:space="preserve">Republic of Korea </t>
  </si>
  <si>
    <t>EURX, Poland</t>
  </si>
  <si>
    <t xml:space="preserve">within 45 days </t>
  </si>
  <si>
    <t xml:space="preserve">QIAGEN/Germany </t>
  </si>
  <si>
    <t>100 kits  can supply immediately .
 400 kits in August.
500  kits in September.</t>
  </si>
  <si>
    <t xml:space="preserve">within 30 business days after receiving the advance payment </t>
  </si>
  <si>
    <t xml:space="preserve">1st delivery is delaying </t>
  </si>
  <si>
    <t>Estimated Quantity 
 /planned</t>
  </si>
  <si>
    <t>Estimated Amount
 (US$)/planned/</t>
  </si>
  <si>
    <t xml:space="preserve">Amendments </t>
  </si>
  <si>
    <t xml:space="preserve">Delivered Quantity </t>
  </si>
  <si>
    <t xml:space="preserve">MTECH  LLC </t>
  </si>
  <si>
    <t xml:space="preserve">CHINA/Mindray </t>
  </si>
  <si>
    <t>30th of  August, 2020</t>
  </si>
  <si>
    <t xml:space="preserve">Ammendment N1 </t>
  </si>
  <si>
    <t>MDS LTD</t>
  </si>
  <si>
    <t>Hamilton Medical AG Switzerlan</t>
  </si>
  <si>
    <t xml:space="preserve">Emergency situations coordination and urgent assistance center”. </t>
  </si>
  <si>
    <t>Ammendment N1 July 16, 2020</t>
  </si>
  <si>
    <t>Period-1: From 16.06.2020 to 03.07.2020;
Period-2: From 30.06.2020 to 17.07.2020;
Period-3: From 12.08.2020 - to 30.08.2020.”</t>
  </si>
  <si>
    <t xml:space="preserve">Within 1 week after   payment of 40% on shipment , but not exceeding four (4) weeks of order placement. </t>
  </si>
  <si>
    <t>COVID19/G/DC-13</t>
  </si>
  <si>
    <t>October</t>
  </si>
  <si>
    <t xml:space="preserve">Quarantine, Preparedness,  Cost of case </t>
  </si>
  <si>
    <t xml:space="preserve">AG/AB rapid tests </t>
  </si>
  <si>
    <t>Nucleic Acid Diagnostic Kit   124 test</t>
  </si>
  <si>
    <t>SANSURE BIOTECH INC</t>
  </si>
  <si>
    <t xml:space="preserve">COVID19GDC-14 </t>
  </si>
  <si>
    <t xml:space="preserve">COVID19GDC-16 </t>
  </si>
  <si>
    <t>Bio Medi  LLC</t>
  </si>
  <si>
    <t xml:space="preserve">LTD Ivermedi. </t>
  </si>
  <si>
    <t>COVID19/G/DC-15/ 07/09/2020</t>
  </si>
  <si>
    <t>Germany</t>
  </si>
  <si>
    <t>DDP Within one month after contract signature</t>
  </si>
  <si>
    <t xml:space="preserve">Second hand good (CT scanner) </t>
  </si>
  <si>
    <t>UNOPS</t>
  </si>
  <si>
    <t>August, 2020</t>
  </si>
  <si>
    <t xml:space="preserve">delivery schedules of the items/supplies will be determined in consultation with the parties </t>
  </si>
  <si>
    <t>AGREEMENT 
FOR DELIVERY OF OUTPUTS
(medical equipment and supplies)</t>
  </si>
  <si>
    <t>Furniture for Primary Healthcare Facilities</t>
  </si>
  <si>
    <t>COVID19/G/DC-22</t>
  </si>
  <si>
    <t xml:space="preserve">LLC Geo +  </t>
  </si>
  <si>
    <t xml:space="preserve">DDP </t>
  </si>
  <si>
    <t>25 days from contact signature</t>
  </si>
  <si>
    <t xml:space="preserve">Roche Diagnostics Turkey A.Ş. </t>
  </si>
  <si>
    <t>Switzerland / CH</t>
  </si>
  <si>
    <t>Tbilisi medic</t>
  </si>
  <si>
    <t>JV LLC KIA motors Georgia and LLC GI TI Motors</t>
  </si>
  <si>
    <t xml:space="preserve">15 Unit </t>
  </si>
  <si>
    <t>30.09.2020</t>
  </si>
  <si>
    <t xml:space="preserve">RFQ </t>
  </si>
  <si>
    <t>1. პერსონალური დაცვის საშუალებები COVID19/G/DC-05</t>
  </si>
  <si>
    <t>9. პირველადი ჯანდაცვის აღჭურვილობა</t>
  </si>
  <si>
    <t>ჯამი</t>
  </si>
  <si>
    <t>საქონელი</t>
  </si>
  <si>
    <t xml:space="preserve">სავარაუდო ხარჯი   (USD) </t>
  </si>
  <si>
    <t xml:space="preserve">გაფორმებული კონტრაქტები </t>
  </si>
  <si>
    <t>რესურსი</t>
  </si>
  <si>
    <t>უკვე დაგეგმილი კონტრაქტები</t>
  </si>
  <si>
    <t xml:space="preserve">Disposable Surgical Masks </t>
  </si>
  <si>
    <t xml:space="preserve">Sinoventure International Business and Managemnet company </t>
  </si>
  <si>
    <t>COVID-G-DC-24, 02/10/2020</t>
  </si>
  <si>
    <t>within 60 days from date of issues of Preproduction Inspection Report</t>
  </si>
  <si>
    <t xml:space="preserve"> </t>
  </si>
  <si>
    <t xml:space="preserve">Within 60 days from the date of issue of a pre-production test report </t>
  </si>
  <si>
    <t xml:space="preserve">ERTUNC OZCAN SAGLIK TESİSLERİ VE TIBBI CIHAZLAR INSAAT AS.   </t>
  </si>
  <si>
    <t>Ertunc Ozcan-001 02/10/2020</t>
  </si>
  <si>
    <t xml:space="preserve">turckey </t>
  </si>
  <si>
    <t>COVID19/G/DC-20 October 08, 2020</t>
  </si>
  <si>
    <t xml:space="preserve">Simens </t>
  </si>
  <si>
    <t xml:space="preserve">Within one month after contract signature </t>
  </si>
  <si>
    <t>COVID19/G/DC-18  September 29, 2020</t>
  </si>
  <si>
    <t>COVID19/G/DC-20  September 16, 2020</t>
  </si>
  <si>
    <t xml:space="preserve">korea </t>
  </si>
  <si>
    <t>Within two weeks after contract signature</t>
  </si>
  <si>
    <t xml:space="preserve">One month after contract signature </t>
  </si>
  <si>
    <t>CIP</t>
  </si>
  <si>
    <t>within 100 days</t>
  </si>
  <si>
    <t>DDP</t>
  </si>
  <si>
    <t>30.09.2020 COVID19/G/RFQ-04</t>
  </si>
  <si>
    <t xml:space="preserve">South  Korea/South aftica Kia /Ford </t>
  </si>
  <si>
    <t>90 days from contact signature</t>
  </si>
  <si>
    <t>COVID19/G/DC-23/ 28.09.2020</t>
  </si>
  <si>
    <t xml:space="preserve"> Equipment for Primary Healthcare Facilities</t>
  </si>
  <si>
    <t>Natia Skhvitaridze</t>
  </si>
  <si>
    <t xml:space="preserve">     25 working days </t>
  </si>
  <si>
    <t>02.07.2020</t>
  </si>
  <si>
    <t>Tinatin Manjavidze</t>
  </si>
  <si>
    <t>Covid19/CS/INDV-01</t>
  </si>
  <si>
    <t>Covid19/CS/INDV-06</t>
  </si>
  <si>
    <t>Covid19/CS/INDV-02</t>
  </si>
  <si>
    <t>Covid19/CS/INDV-05</t>
  </si>
  <si>
    <t xml:space="preserve">Covid19/CS/INDV-04 </t>
  </si>
  <si>
    <t>Covid19/CS/INDV-03</t>
  </si>
  <si>
    <t>Covid19/CS/INDV-07</t>
  </si>
  <si>
    <t xml:space="preserve"> signed dated </t>
  </si>
  <si>
    <t>Contract  N</t>
  </si>
  <si>
    <t>16.06.2020</t>
  </si>
  <si>
    <t>24.06.2020</t>
  </si>
  <si>
    <t>25.06.2020</t>
  </si>
  <si>
    <t>27.07.2020</t>
  </si>
  <si>
    <t>16.06.2021</t>
  </si>
  <si>
    <t xml:space="preserve">110 working days </t>
  </si>
  <si>
    <t>24.06.2021</t>
  </si>
  <si>
    <t>150 working days</t>
  </si>
  <si>
    <t xml:space="preserve">3 working month </t>
  </si>
  <si>
    <t xml:space="preserve">Nino Kvernadze </t>
  </si>
  <si>
    <t xml:space="preserve">Giorgi Kobaladze </t>
  </si>
  <si>
    <t xml:space="preserve">Natalie Godziashvili </t>
  </si>
  <si>
    <t>Nino patarashvili</t>
  </si>
  <si>
    <t xml:space="preserve">Lia tavadze </t>
  </si>
  <si>
    <t xml:space="preserve">Nino Gvenetadze </t>
  </si>
  <si>
    <t xml:space="preserve">lela Dzidzikuri </t>
  </si>
  <si>
    <t xml:space="preserve">Enviromental Standards Consultant </t>
  </si>
  <si>
    <t>Social Standarts Specialist/Consultamt</t>
  </si>
  <si>
    <t xml:space="preserve">Contrac signed dated </t>
  </si>
  <si>
    <t xml:space="preserve">Georgia </t>
  </si>
  <si>
    <t>Commander -001</t>
  </si>
  <si>
    <t>10.07.2020</t>
  </si>
  <si>
    <t xml:space="preserve">COVID19/G/DC-02 </t>
  </si>
  <si>
    <t>COVID19/G/DC-01</t>
  </si>
  <si>
    <t>Delivered/ Until  August 5, 2020</t>
  </si>
  <si>
    <t xml:space="preserve">COVID19/G/DC-09 </t>
  </si>
  <si>
    <t xml:space="preserve">COVID19/G/DC-10
</t>
  </si>
  <si>
    <t xml:space="preserve">COVID19/G/UN-01  
</t>
  </si>
  <si>
    <t xml:space="preserve">COVID19GDC-14  </t>
  </si>
  <si>
    <r>
      <t>COVID19/G/DC</t>
    </r>
    <r>
      <rPr>
        <b/>
        <sz val="11"/>
        <rFont val="Calibri"/>
        <family val="2"/>
      </rPr>
      <t xml:space="preserve"> </t>
    </r>
    <r>
      <rPr>
        <b/>
        <sz val="11"/>
        <rFont val="Times New Roman"/>
        <family val="1"/>
      </rPr>
      <t xml:space="preserve">- 08 </t>
    </r>
  </si>
  <si>
    <t>07.09.2020</t>
  </si>
  <si>
    <t>20.05.2020</t>
  </si>
  <si>
    <t>02.10.2020</t>
  </si>
  <si>
    <t xml:space="preserve"> Ertunc Ozcan/turckey</t>
  </si>
  <si>
    <t xml:space="preserve">COVID19/G/DC-20 </t>
  </si>
  <si>
    <t>Canada/DNA Genetic</t>
  </si>
  <si>
    <t>Biosensor/korea</t>
  </si>
  <si>
    <t xml:space="preserve"> COVID19/G/RFQ-04</t>
  </si>
  <si>
    <t>28.09.2020</t>
  </si>
  <si>
    <t>Various</t>
  </si>
  <si>
    <t>36 types</t>
  </si>
  <si>
    <t>Technical Assistance for post crises COVID-19 strategy for Health Sector - Assistant Consultant</t>
  </si>
  <si>
    <t xml:space="preserve">COVID19/CS/CDS-02 / </t>
  </si>
  <si>
    <t xml:space="preserve">COVID19/CS/CDS-01 / </t>
  </si>
  <si>
    <t xml:space="preserve">25 working days </t>
  </si>
  <si>
    <t xml:space="preserve">Consultant  name </t>
  </si>
  <si>
    <t>03.08.2020</t>
  </si>
  <si>
    <t>01.07.2020</t>
  </si>
  <si>
    <t>03.07.2020</t>
  </si>
  <si>
    <t xml:space="preserve"> 22.07.2020</t>
  </si>
  <si>
    <t xml:space="preserve">2021 March </t>
  </si>
  <si>
    <t>21.05.2020</t>
  </si>
  <si>
    <t>17.05.2020</t>
  </si>
  <si>
    <t>18.06.2020</t>
  </si>
  <si>
    <t>20.08.2020</t>
  </si>
  <si>
    <t xml:space="preserve">02.09.2020 </t>
  </si>
  <si>
    <t>16.09.2020</t>
  </si>
  <si>
    <t xml:space="preserve">Contract  </t>
  </si>
  <si>
    <t>08.10.2020</t>
  </si>
  <si>
    <t>Procurement of Mobile Emergency Ventilators and Related Services</t>
  </si>
  <si>
    <t>COVID19/G/DC-09 / Procurement of Qiagen RNA Mini Kit (250)</t>
  </si>
  <si>
    <t>Contract Award Notice Bank/MOH</t>
  </si>
  <si>
    <t xml:space="preserve">COVID19-G-DC-27  </t>
  </si>
  <si>
    <t>23.10.2020</t>
  </si>
  <si>
    <t>Dialysis equipment for Georgian hospitals</t>
  </si>
  <si>
    <t>Technical Assistance for post-crises COVID-19 strategy for Health Sector - Lead Consultant</t>
  </si>
  <si>
    <t>50-51 weeks from contract signature</t>
  </si>
  <si>
    <t xml:space="preserve">36 Unit </t>
  </si>
  <si>
    <t xml:space="preserve">Germany
Hungury
</t>
  </si>
  <si>
    <t>COVID19-G-DC-25</t>
  </si>
  <si>
    <t>15.10.2020</t>
  </si>
  <si>
    <t>Procurement of medical equipment and supplies for hospitals</t>
  </si>
  <si>
    <t>31 July 2022.</t>
  </si>
  <si>
    <t>29.10.2020</t>
  </si>
  <si>
    <t xml:space="preserve">COVID19/G/DC-28 </t>
  </si>
  <si>
    <t>two weeks from contract signature</t>
  </si>
  <si>
    <t>Korea</t>
  </si>
  <si>
    <t xml:space="preserve">STANDARD Q COVID-19 Ag test </t>
  </si>
  <si>
    <t>COVID19/G/DC-17</t>
  </si>
  <si>
    <t>28.10.2020</t>
  </si>
  <si>
    <t xml:space="preserve">Within 60  days after contract signature </t>
  </si>
  <si>
    <t>USA</t>
  </si>
  <si>
    <t>COVID19/G/DC-12</t>
  </si>
  <si>
    <t>21.10.2020</t>
  </si>
  <si>
    <t>3000 tests per week</t>
  </si>
  <si>
    <t>3 month</t>
  </si>
  <si>
    <t>4.  COVID19/G/RFQ-01 / Procurement of fully equipped Ambulance car C and B  type - Intensive Care Mobile Unit (38 Units)</t>
  </si>
  <si>
    <t xml:space="preserve">COVID19/G/DC-26 </t>
  </si>
  <si>
    <t xml:space="preserve">Motorola Solutions Germany </t>
  </si>
  <si>
    <r>
      <t>Tetra equipment with related services</t>
    </r>
    <r>
      <rPr>
        <sz val="11"/>
        <rFont val="Calibri"/>
        <family val="2"/>
      </rPr>
      <t xml:space="preserve"> </t>
    </r>
  </si>
  <si>
    <t>06.10.2020</t>
  </si>
  <si>
    <t>COVID19/G/DC-26/06.10.2020</t>
  </si>
  <si>
    <t>24 weeks - 44 weeks from contract signature</t>
  </si>
  <si>
    <t xml:space="preserve">USA/Malaysia </t>
  </si>
  <si>
    <t>Commander-007</t>
  </si>
  <si>
    <t>05.11.2020</t>
  </si>
  <si>
    <t>45 days from the date of issue of a pre-production test</t>
  </si>
  <si>
    <t xml:space="preserve">Gloves, examination,
non-sterile/Mask, respirator,
KN95
</t>
  </si>
  <si>
    <t xml:space="preserve">Malaysia/china </t>
  </si>
  <si>
    <t>US $ 0.12/US $ 1.13 mask</t>
  </si>
  <si>
    <t>Commander-007/05.11,2020</t>
  </si>
  <si>
    <t xml:space="preserve">Malayzia/China </t>
  </si>
  <si>
    <t>medical coveralls</t>
  </si>
  <si>
    <t xml:space="preserve">Boot covers </t>
  </si>
  <si>
    <t xml:space="preserve">Computers  </t>
  </si>
  <si>
    <t>Headphone</t>
  </si>
  <si>
    <t>Recording camera for ambulance patient cabinet</t>
  </si>
  <si>
    <t>Body worn camera for ambulance group</t>
  </si>
  <si>
    <t>Tablet for Ambulance Emergency Medical Care Car</t>
  </si>
  <si>
    <t xml:space="preserve">Medical Equipment for Emergency Services
</t>
  </si>
  <si>
    <t>Oxygen concentrators</t>
  </si>
  <si>
    <t>COVID19/G/DC-31</t>
  </si>
  <si>
    <t xml:space="preserve"> 24.11.2020</t>
  </si>
  <si>
    <t>People’s republic of China</t>
  </si>
  <si>
    <t>Estimate Delivery date 2 December, 2020.  Maximum delivery date no later than 20 December, 2020</t>
  </si>
  <si>
    <t xml:space="preserve">LLC Business Process Management Group </t>
  </si>
  <si>
    <t>DEVELOP COVID-19 SELF-ISOLATION IT PLATFORM</t>
  </si>
  <si>
    <t xml:space="preserve"> 10.11.2020</t>
  </si>
  <si>
    <t>Time one month from the
contact signature.</t>
  </si>
  <si>
    <t>COVID19-CS-RFP-02</t>
  </si>
  <si>
    <t xml:space="preserve">STOP COVID MOBILE APPLICATION
</t>
  </si>
  <si>
    <t>Grabner &amp; Gretzmacher MDL GmbH</t>
  </si>
  <si>
    <t xml:space="preserve"> COVID19-CS-RFP-01</t>
  </si>
  <si>
    <t>Direct RFP</t>
  </si>
  <si>
    <t>15 motor Motor Vehicles GES</t>
  </si>
  <si>
    <t xml:space="preserve">8.   Procurement of motor vehicles for Ministry </t>
  </si>
  <si>
    <t xml:space="preserve">8.  ავტოსატრანსპორტო საშუალებები სამინისტროს შესაბამისი სააგენტოებისთვის </t>
  </si>
  <si>
    <t>8.   Procurement of motor vehicles for Infectious Control Monitoring Center</t>
  </si>
  <si>
    <t xml:space="preserve">6 working month </t>
  </si>
  <si>
    <t xml:space="preserve">lela Dzidziguri </t>
  </si>
  <si>
    <t>Direct /BFP</t>
  </si>
  <si>
    <t xml:space="preserve">Thermos Scientifics COVID-19 tests with consurambales </t>
  </si>
  <si>
    <t>Xpert Xpress SARS-CoV-2 kit/10 tests (2000 pack)</t>
  </si>
  <si>
    <t>COVID19/G/DC-08 / Procurement of In Vitro Diagnostic Medical Device (cobas 6800)</t>
  </si>
  <si>
    <t>MATRIX Viral RNA/DNA
Purification Kit (500 Packs, extraction)</t>
  </si>
  <si>
    <t xml:space="preserve">35 days </t>
  </si>
  <si>
    <t>Direct/BFP</t>
  </si>
  <si>
    <t>CT scanner (Second hand good)</t>
  </si>
  <si>
    <t xml:space="preserve"> Equipment for 100 Primary Healthcare Facilities</t>
  </si>
  <si>
    <t>PCR tests for Procleix Panther System for Automated NAT (Grifols) device (10000 kit)</t>
  </si>
  <si>
    <t xml:space="preserve">   4300000gloves 230000 mask</t>
  </si>
  <si>
    <t xml:space="preserve">Actual Total Price in USD 
</t>
  </si>
  <si>
    <t>Actual Total Price according the the contract</t>
  </si>
  <si>
    <t xml:space="preserve">Bio Medi  LLC (204992393) </t>
  </si>
  <si>
    <t xml:space="preserve">Furniture for 100 Primary Healthcare Facilities </t>
  </si>
  <si>
    <t xml:space="preserve">LLC Geo + 
 (ID 423099774 )
</t>
  </si>
  <si>
    <t>LTD Ivermedi. 
(ID 211357841 )</t>
  </si>
  <si>
    <t>29.09.2020</t>
  </si>
  <si>
    <t xml:space="preserve">COVID19/G/DC-18  </t>
  </si>
  <si>
    <t>AG/AB combined package rapid tests</t>
  </si>
  <si>
    <t>KIT COBAS 6800/8800 SARS-COV-2 192T (with consumables for 150 000 tests)</t>
  </si>
  <si>
    <t>Hospimed Georgia” LLC (ID 206335704)</t>
  </si>
  <si>
    <t>MIRKO LLC  
(ID 204996772)</t>
  </si>
  <si>
    <t>Lux Med LTD
 (ID 400130050)</t>
  </si>
  <si>
    <t>ABM LTD 
(ID 404917328 )</t>
  </si>
  <si>
    <t>Prima Medi LTD 
(ID 204963851)</t>
  </si>
  <si>
    <t xml:space="preserve"> Bio Gene
LTD -  (ID 422724412)
/ Green Lab
LTD- (ID 416345832)  </t>
  </si>
  <si>
    <t>MTECH  LLC 
(ID 202443230 )</t>
  </si>
  <si>
    <t>Prima Medi LTD
 (ID 204963851)</t>
  </si>
  <si>
    <t xml:space="preserve">MDS LTD 
 (ID 400096999)  
</t>
  </si>
  <si>
    <t xml:space="preserve">JV LLC KIA motors Georgia (ID 236096675) and LLC GI TI Motors (ID 206276340) </t>
  </si>
  <si>
    <t xml:space="preserve">Tbilisi medic LLC
  (ID 404865286) </t>
  </si>
  <si>
    <t>LLC Business Process Management Group 
(ID 405250053 )</t>
  </si>
  <si>
    <t xml:space="preserve">Ertunc Ozcan-001 </t>
  </si>
  <si>
    <t xml:space="preserve">COVID19/G/DC-21  </t>
  </si>
  <si>
    <t>N/A</t>
  </si>
  <si>
    <t>consultancy service</t>
  </si>
  <si>
    <t>Parshall delivery 10/30/2020 (5000 tests )</t>
  </si>
  <si>
    <t xml:space="preserve">LTD  KPI-Georgia  
(ID 400010796 ) </t>
  </si>
  <si>
    <t>COVID19/G/DC-31/
24.11.2020</t>
  </si>
  <si>
    <t>COVID19-G-DC-27 
 /23.10.2020</t>
  </si>
  <si>
    <t xml:space="preserve">Laboratory equipment for Batumi and Rukhi Hospitals
</t>
  </si>
  <si>
    <t>დარჩენილი თანხა მომავალი / სავარაუდო კონტრაქტები</t>
  </si>
  <si>
    <t>18.11.2020</t>
  </si>
  <si>
    <t xml:space="preserve">ORIS LLC </t>
  </si>
  <si>
    <t xml:space="preserve">initial Duration monthe/day  </t>
  </si>
  <si>
    <t xml:space="preserve">Time extention </t>
  </si>
  <si>
    <t xml:space="preserve">3working month </t>
  </si>
  <si>
    <t xml:space="preserve">Ammendment N1 
 time extention </t>
  </si>
  <si>
    <t>4 300 000gloves 
/230,000 mask</t>
  </si>
  <si>
    <t>US $ 0.12
/US $ 1.13 mask</t>
  </si>
  <si>
    <t xml:space="preserve">125 000 </t>
  </si>
  <si>
    <t xml:space="preserve">MATRIX Viral RNA/DNA
Purification Kit  </t>
  </si>
  <si>
    <t>COVID19/G/DC-1221.10.2020</t>
  </si>
  <si>
    <r>
      <t>COVID19/G/DC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Times New Roman"/>
        <family val="1"/>
      </rPr>
      <t xml:space="preserve">- 08 </t>
    </r>
  </si>
  <si>
    <t>various</t>
  </si>
  <si>
    <t>ACTUALS (USD)</t>
  </si>
  <si>
    <t>COVID19/G/DC-29</t>
  </si>
  <si>
    <t>15 motor Motor Vehicles for Agency for Regulation of Medical and Pharmaceutical Activities</t>
  </si>
  <si>
    <t>COVID19/G/DC-33</t>
  </si>
  <si>
    <t>COVID19/G/DC-32</t>
  </si>
  <si>
    <t>COVID19/G/DC-30</t>
  </si>
  <si>
    <t>Within two weeks after contract signature (AG200000/AB200000)</t>
  </si>
  <si>
    <t>Laboratory equipment for Hospitals</t>
  </si>
  <si>
    <t>07.12.2020</t>
  </si>
  <si>
    <t xml:space="preserve">Within 30 days after contract signature </t>
  </si>
  <si>
    <t>14.12.2020</t>
  </si>
  <si>
    <t>CPAP Masks, BPAP and HFNC devices</t>
  </si>
  <si>
    <t>10.12.2020</t>
  </si>
  <si>
    <t xml:space="preserve">CPAP - 18000
BPAP 500+300
HFNC -50 </t>
  </si>
  <si>
    <t>842,100 Euro and 681,600 USD</t>
  </si>
  <si>
    <t xml:space="preserve">Within 10 days after contract signature </t>
  </si>
  <si>
    <t>yes/yes</t>
  </si>
  <si>
    <t>yes /yes</t>
  </si>
  <si>
    <t>COVID19-CS-RFP-03</t>
  </si>
  <si>
    <t>COVID19-CS-RFP-04</t>
  </si>
  <si>
    <t>LCS</t>
  </si>
  <si>
    <t>COVID19/G/DC-34</t>
  </si>
  <si>
    <t>COVID19/G/DC-35</t>
  </si>
  <si>
    <t>TaqPath™ COVID-19 CE-IVD RT-PCR tests and KingFisher FLEX extraction kits</t>
  </si>
  <si>
    <t>Ambulance C and B  type</t>
  </si>
  <si>
    <t xml:space="preserve">COVID19-G-RFB-01 </t>
  </si>
  <si>
    <t xml:space="preserve">COVID19/G/DC-03 </t>
  </si>
  <si>
    <t>COVID19/G/DC-15</t>
  </si>
  <si>
    <t>COVID19/G/DC-23</t>
  </si>
  <si>
    <t xml:space="preserve">COVID19/CS/CDS-02 </t>
  </si>
  <si>
    <t xml:space="preserve">COVID19/CS/CDS-01 </t>
  </si>
  <si>
    <t xml:space="preserve">RFB </t>
  </si>
  <si>
    <t>28.12.2020</t>
  </si>
  <si>
    <t xml:space="preserve">Oris-Accounting Software </t>
  </si>
  <si>
    <t>Terminal services</t>
  </si>
  <si>
    <t xml:space="preserve">lazare  LLC </t>
  </si>
  <si>
    <t xml:space="preserve">LAZARE LLC </t>
  </si>
  <si>
    <t>one week from contract signature</t>
  </si>
  <si>
    <t>31.12.2021</t>
  </si>
  <si>
    <t>one week  from contract siganture</t>
  </si>
  <si>
    <t>`</t>
  </si>
  <si>
    <t>COVID19/G/DC-30/07.12.2020</t>
  </si>
  <si>
    <t xml:space="preserve">
China /Germany </t>
  </si>
  <si>
    <t>AKA LLC  (204875082)</t>
  </si>
  <si>
    <t>Mercedes-Benz AG /Emergency mobile systems A.S</t>
  </si>
  <si>
    <t>180 day from contract signature</t>
  </si>
  <si>
    <t>180 days from contract signature</t>
  </si>
  <si>
    <t>Green Systems LLC, (ID 404862190)</t>
  </si>
  <si>
    <t>Supply and Installation of Network Infrastructure</t>
  </si>
  <si>
    <t xml:space="preserve"> COVID19/G/RFQ-09</t>
  </si>
  <si>
    <t>12.01.2021</t>
  </si>
  <si>
    <t>Cisco International Limited</t>
  </si>
  <si>
    <t>90 day from contract signature</t>
  </si>
  <si>
    <t>Supply and Installation of Server Infrastructure</t>
  </si>
  <si>
    <t>UGT LLC, (ID 204892964)</t>
  </si>
  <si>
    <t>COVID19-G-RFQ-11</t>
  </si>
  <si>
    <t>Georgia</t>
  </si>
  <si>
    <t>COVID19-G-DC-24</t>
  </si>
  <si>
    <t>50-51 weeks of the year from contract signature</t>
  </si>
  <si>
    <t>ongoing</t>
  </si>
  <si>
    <t>2. Procurement of Hospital Equipment for dedicated COVID-19 clinics: Rukhi, Batumi, Tbilisi Infectious, Tbilisi University, Kutaisi Regional, and Sachkhere Regional</t>
  </si>
  <si>
    <t xml:space="preserve">2. კოვიდ-19 საპასუხო ღონისძიებებში ჩართული ჰოსპიტლებისთვის აღჭურვილობის შეძენა (რუხი, ბათუმი, თბ. ინფექციური, თბ. საუნივერსიტეტო, ქუთ. რეგიონული, LG, და საჩხერის რეგ. დაწესებულებები) </t>
  </si>
  <si>
    <t xml:space="preserve">3. პირველადი გადაუდებელი საპასუხო ღონისძიებებისთვის მოტოციკლები (სრული კომპლექტაცია) </t>
  </si>
  <si>
    <t xml:space="preserve">4.  ცე და ბე ტიპის (ინტენსიური დახმარების) მობილური ჯგუფებისთვის მნქანები და აღჭურვილობა (სრული კომპლექტაცია) 38 ცალი </t>
  </si>
  <si>
    <t xml:space="preserve">5. სადიაგნოსტიკო მასალები  </t>
  </si>
  <si>
    <t xml:space="preserve">6. სასწრაფო-გადაუდებელი დახმარების ცენტრის აღჭურვილობა </t>
  </si>
  <si>
    <t xml:space="preserve">7. ინტერნეტ-საკომუნიკაციო აღჭურვილობა / კომპიუტერული ტექნიკა საზ. ჯანდაცვის დაწესებულებებისთვის  </t>
  </si>
  <si>
    <t>3. Procurement of Motorcycle for ambulance first responders with helmets</t>
  </si>
  <si>
    <t>4. Procurement of fully equipped Ambulance car C and B type - Intensive Care Mobile Unit (38 Units)</t>
  </si>
  <si>
    <t>5. Procurement of Diagnostic Supplies</t>
  </si>
  <si>
    <t>6. Procurement of Equipment for Emergency Control Center</t>
  </si>
  <si>
    <t>7.  Procurement of ICT goods for public health facilities</t>
  </si>
  <si>
    <t>COVID19/G/RFQ-01 / Procurement of fully equipped Ambulance car C and B type - Intensive Care Mobile Unit (38 Units)</t>
  </si>
  <si>
    <t>თანმდევი მომსახურება</t>
  </si>
  <si>
    <t xml:space="preserve">ongoing </t>
  </si>
  <si>
    <t>AUDIT</t>
  </si>
  <si>
    <t>Design review and supervision</t>
  </si>
  <si>
    <t>QBS</t>
  </si>
  <si>
    <t>CIP Contract related services (customs clearence, tranposrtation)</t>
  </si>
  <si>
    <t xml:space="preserve">Cost estimate (USD) </t>
  </si>
  <si>
    <t>CONSULTANCY SERVICES</t>
  </si>
  <si>
    <t>PP 15.01.2021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</si>
</sst>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(* #,##0.00_);_(* \(#,##0.00\);_(* &quot;-&quot;??_);_(@_)"/>
    <numFmt numFmtId="164" formatCode="_-* #,##0\ &quot;₾&quot;_-;\-* #,##0\ &quot;₾&quot;_-;_-* &quot;-&quot;\ &quot;₾&quot;_-;_-@_-"/>
    <numFmt numFmtId="165" formatCode="_-* #,##0\ _₾_-;\-* #,##0\ _₾_-;_-* &quot;-&quot;\ _₾_-;_-@_-"/>
    <numFmt numFmtId="166" formatCode="_-* #,##0.00\ &quot;₾&quot;_-;\-* #,##0.00\ &quot;₾&quot;_-;_-* &quot;-&quot;??\ &quot;₾&quot;_-;_-@_-"/>
    <numFmt numFmtId="167" formatCode="_-* #,##0.00\ _₾_-;\-* #,##0.00\ _₾_-;_-* &quot;-&quot;??\ _₾_-;_-@_-"/>
    <numFmt numFmtId="168" formatCode="&quot;$&quot;#,##0.00"/>
    <numFmt numFmtId="169" formatCode="_([$$-409]* #,##0.00_);_([$$-409]* \(#,##0.00\);_([$$-409]* &quot;-&quot;??_);_(@_)"/>
    <numFmt numFmtId="170" formatCode="_-* #,##0.00\ [$CHF-100C]_-;\-* #,##0.00\ [$CHF-100C]_-;_-* &quot;-&quot;??\ [$CHF-100C]_-;_-@_-"/>
    <numFmt numFmtId="171" formatCode="_(* #,##0_);_(* \(#,##0\);_(* &quot;-&quot;??_);_(@_)"/>
    <numFmt numFmtId="172" formatCode="_([$GEL]\ * #,##0.00_);_([$GEL]\ * \(#,##0.00\);_([$GEL]\ * &quot;-&quot;??_);_(@_)"/>
    <numFmt numFmtId="173" formatCode="#,##0.00\ [$€-1];[Red]\-#,##0.00\ [$€-1]"/>
    <numFmt numFmtId="174" formatCode="[$EUR]\ #,##0.00"/>
    <numFmt numFmtId="175" formatCode="[$GEL]\ #,##0.00_);\([$GEL]\ #,##0.00\)"/>
    <numFmt numFmtId="176" formatCode="[$USD]\ #,##0.00"/>
    <numFmt numFmtId="177" formatCode="[$USD]\ #,##0.0"/>
    <numFmt numFmtId="178" formatCode="[$USD]\ #,##0.00_);\([$USD]\ #,##0.00\)"/>
    <numFmt numFmtId="179" formatCode="_-[$£-809]* #,##0.00_-;\-[$£-809]* #,##0.00_-;_-[$£-809]* &quot;-&quot;??_-;_-@_-"/>
    <numFmt numFmtId="180" formatCode="[$GEL]\ #,##0.00"/>
  </numFmts>
  <fonts count="4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Calibri"/>
      <family val="2"/>
      <scheme val="minor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Calibri"/>
      <family val="2"/>
      <scheme val="minor"/>
    </font>
    <font>
      <b/>
      <sz val="10"/>
      <name val="Arial"/>
      <family val="2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u/>
      <sz val="11"/>
      <color theme="10"/>
      <name val="Times New Roman"/>
      <family val="1"/>
    </font>
    <font>
      <sz val="11"/>
      <name val="Calibri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1"/>
      <color rgb="FF000000"/>
      <name val="Times New Roman"/>
      <family val="1"/>
    </font>
    <font>
      <b/>
      <sz val="8"/>
      <name val="Times New Roman"/>
      <family val="1"/>
    </font>
    <font>
      <b/>
      <sz val="11"/>
      <name val="Calibri"/>
      <family val="2"/>
    </font>
    <font>
      <b/>
      <sz val="10"/>
      <name val="Times New Roman"/>
      <family val="1"/>
    </font>
    <font>
      <b/>
      <sz val="14"/>
      <color rgb="FF000000"/>
      <name val="Sylfaen"/>
      <family val="1"/>
    </font>
    <font>
      <b/>
      <sz val="11"/>
      <color rgb="FF000000"/>
      <name val="Times New Roman"/>
      <family val="1"/>
    </font>
    <font>
      <b/>
      <sz val="11"/>
      <color rgb="FF66727B"/>
      <name val="Verdana"/>
      <family val="2"/>
    </font>
    <font>
      <sz val="11"/>
      <color rgb="FF000000"/>
      <name val="Sylfaen"/>
      <family val="1"/>
    </font>
    <font>
      <sz val="11"/>
      <color theme="1"/>
      <name val="Calibri"/>
      <family val="2"/>
    </font>
    <font>
      <b/>
      <sz val="11"/>
      <color rgb="FF66727B"/>
      <name val="Times New Roman"/>
      <family val="1"/>
    </font>
    <font>
      <b/>
      <sz val="14"/>
      <color rgb="FFFF0000"/>
      <name val="Times New Roman"/>
      <family val="1"/>
    </font>
    <font>
      <sz val="12"/>
      <name val="Times New Roman"/>
      <family val="1"/>
    </font>
    <font>
      <b/>
      <sz val="7"/>
      <color rgb="FF66727B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37">
    <xf numFmtId="0" fontId="0" fillId="0" borderId="0"/>
    <xf numFmtId="9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/>
    <xf numFmtId="0" fontId="28" fillId="0" borderId="0" applyNumberFormat="0" applyFill="0" applyBorder="0" applyAlignment="0" applyProtection="0"/>
    <xf numFmtId="167" fontId="20" fillId="0" borderId="0" applyFont="0" applyFill="0" applyBorder="0" applyAlignment="0" applyProtection="0"/>
  </cellStyleXfs>
  <cellXfs count="455">
    <xf numFmtId="0" fontId="0" fillId="0" borderId="0" xfId="0"/>
    <xf numFmtId="0" fontId="19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168" fontId="24" fillId="25" borderId="13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19" fillId="0" borderId="13" xfId="0" applyFont="1" applyFill="1" applyBorder="1" applyAlignment="1">
      <alignment horizontal="center" vertical="center" wrapText="1"/>
    </xf>
    <xf numFmtId="0" fontId="22" fillId="0" borderId="0" xfId="0" applyFont="1"/>
    <xf numFmtId="0" fontId="22" fillId="0" borderId="0" xfId="0" applyFont="1" applyAlignment="1">
      <alignment horizontal="center"/>
    </xf>
    <xf numFmtId="168" fontId="21" fillId="25" borderId="13" xfId="0" applyNumberFormat="1" applyFont="1" applyFill="1" applyBorder="1" applyAlignment="1">
      <alignment horizontal="center" vertical="center" wrapText="1"/>
    </xf>
    <xf numFmtId="168" fontId="21" fillId="25" borderId="0" xfId="0" applyNumberFormat="1" applyFont="1" applyFill="1" applyBorder="1" applyAlignment="1">
      <alignment horizontal="center" vertical="center"/>
    </xf>
    <xf numFmtId="0" fontId="22" fillId="25" borderId="0" xfId="0" applyFont="1" applyFill="1"/>
    <xf numFmtId="0" fontId="22" fillId="0" borderId="13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168" fontId="21" fillId="25" borderId="0" xfId="0" applyNumberFormat="1" applyFont="1" applyFill="1" applyBorder="1" applyAlignment="1">
      <alignment horizontal="center"/>
    </xf>
    <xf numFmtId="168" fontId="21" fillId="24" borderId="16" xfId="0" applyNumberFormat="1" applyFont="1" applyFill="1" applyBorder="1" applyAlignment="1">
      <alignment horizontal="center" vertical="center"/>
    </xf>
    <xf numFmtId="0" fontId="22" fillId="0" borderId="0" xfId="0" applyFont="1" applyAlignment="1"/>
    <xf numFmtId="168" fontId="21" fillId="25" borderId="15" xfId="0" applyNumberFormat="1" applyFont="1" applyFill="1" applyBorder="1" applyAlignment="1">
      <alignment horizontal="center" vertical="center" wrapText="1"/>
    </xf>
    <xf numFmtId="0" fontId="19" fillId="28" borderId="13" xfId="0" applyFont="1" applyFill="1" applyBorder="1" applyAlignment="1">
      <alignment horizontal="center" vertical="center" wrapText="1"/>
    </xf>
    <xf numFmtId="0" fontId="0" fillId="0" borderId="0" xfId="0" applyAlignment="1"/>
    <xf numFmtId="0" fontId="22" fillId="0" borderId="0" xfId="0" applyFont="1" applyAlignment="1">
      <alignment vertical="center"/>
    </xf>
    <xf numFmtId="168" fontId="24" fillId="25" borderId="13" xfId="0" applyNumberFormat="1" applyFont="1" applyFill="1" applyBorder="1" applyAlignment="1">
      <alignment wrapText="1"/>
    </xf>
    <xf numFmtId="0" fontId="24" fillId="28" borderId="13" xfId="0" applyFont="1" applyFill="1" applyBorder="1" applyAlignment="1">
      <alignment wrapText="1"/>
    </xf>
    <xf numFmtId="0" fontId="19" fillId="0" borderId="13" xfId="0" applyFont="1" applyFill="1" applyBorder="1" applyAlignment="1">
      <alignment wrapText="1"/>
    </xf>
    <xf numFmtId="167" fontId="19" fillId="0" borderId="13" xfId="0" applyNumberFormat="1" applyFont="1" applyFill="1" applyBorder="1" applyAlignment="1">
      <alignment horizontal="center" vertical="center" wrapText="1"/>
    </xf>
    <xf numFmtId="0" fontId="0" fillId="0" borderId="13" xfId="0" applyBorder="1" applyAlignment="1"/>
    <xf numFmtId="167" fontId="24" fillId="28" borderId="13" xfId="4" applyFont="1" applyFill="1" applyBorder="1" applyAlignment="1">
      <alignment horizontal="center" wrapText="1"/>
    </xf>
    <xf numFmtId="167" fontId="25" fillId="30" borderId="13" xfId="0" applyNumberFormat="1" applyFont="1" applyFill="1" applyBorder="1" applyAlignment="1">
      <alignment horizontal="center"/>
    </xf>
    <xf numFmtId="0" fontId="21" fillId="25" borderId="27" xfId="0" applyNumberFormat="1" applyFont="1" applyFill="1" applyBorder="1" applyAlignment="1">
      <alignment horizontal="center" vertical="center"/>
    </xf>
    <xf numFmtId="0" fontId="21" fillId="25" borderId="10" xfId="0" applyNumberFormat="1" applyFont="1" applyFill="1" applyBorder="1" applyAlignment="1">
      <alignment horizontal="center" vertical="center"/>
    </xf>
    <xf numFmtId="167" fontId="21" fillId="25" borderId="10" xfId="4" applyFont="1" applyFill="1" applyBorder="1" applyAlignment="1">
      <alignment horizontal="center" vertical="center" wrapText="1"/>
    </xf>
    <xf numFmtId="168" fontId="21" fillId="25" borderId="10" xfId="0" applyNumberFormat="1" applyFont="1" applyFill="1" applyBorder="1" applyAlignment="1">
      <alignment horizontal="center" vertical="center"/>
    </xf>
    <xf numFmtId="167" fontId="21" fillId="25" borderId="10" xfId="4" applyFont="1" applyFill="1" applyBorder="1" applyAlignment="1">
      <alignment horizontal="center" vertical="center"/>
    </xf>
    <xf numFmtId="167" fontId="21" fillId="25" borderId="13" xfId="4" applyFont="1" applyFill="1" applyBorder="1" applyAlignment="1">
      <alignment horizontal="center" vertical="center" wrapText="1"/>
    </xf>
    <xf numFmtId="168" fontId="21" fillId="25" borderId="17" xfId="0" applyNumberFormat="1" applyFont="1" applyFill="1" applyBorder="1" applyAlignment="1">
      <alignment horizontal="center" vertical="center" wrapText="1"/>
    </xf>
    <xf numFmtId="0" fontId="22" fillId="25" borderId="10" xfId="4" applyNumberFormat="1" applyFont="1" applyFill="1" applyBorder="1" applyAlignment="1">
      <alignment horizontal="center" vertical="center" wrapText="1"/>
    </xf>
    <xf numFmtId="0" fontId="22" fillId="25" borderId="13" xfId="4" applyNumberFormat="1" applyFont="1" applyFill="1" applyBorder="1" applyAlignment="1">
      <alignment horizontal="center" vertical="center" wrapText="1"/>
    </xf>
    <xf numFmtId="0" fontId="21" fillId="25" borderId="37" xfId="0" applyNumberFormat="1" applyFont="1" applyFill="1" applyBorder="1" applyAlignment="1">
      <alignment horizontal="center" vertical="center"/>
    </xf>
    <xf numFmtId="0" fontId="21" fillId="25" borderId="13" xfId="0" applyNumberFormat="1" applyFont="1" applyFill="1" applyBorder="1" applyAlignment="1">
      <alignment horizontal="center" vertical="center"/>
    </xf>
    <xf numFmtId="168" fontId="26" fillId="25" borderId="40" xfId="0" applyNumberFormat="1" applyFont="1" applyFill="1" applyBorder="1" applyAlignment="1">
      <alignment horizontal="center" vertical="center" wrapText="1"/>
    </xf>
    <xf numFmtId="168" fontId="21" fillId="25" borderId="40" xfId="0" applyNumberFormat="1" applyFont="1" applyFill="1" applyBorder="1" applyAlignment="1">
      <alignment horizontal="center" vertical="center" wrapText="1"/>
    </xf>
    <xf numFmtId="168" fontId="21" fillId="25" borderId="40" xfId="0" applyNumberFormat="1" applyFont="1" applyFill="1" applyBorder="1" applyAlignment="1">
      <alignment horizontal="center" vertical="center"/>
    </xf>
    <xf numFmtId="168" fontId="22" fillId="25" borderId="40" xfId="0" applyNumberFormat="1" applyFont="1" applyFill="1" applyBorder="1" applyAlignment="1">
      <alignment horizontal="center" vertical="center" wrapText="1"/>
    </xf>
    <xf numFmtId="167" fontId="26" fillId="25" borderId="40" xfId="4" applyFont="1" applyFill="1" applyBorder="1" applyAlignment="1">
      <alignment vertical="center" wrapText="1"/>
    </xf>
    <xf numFmtId="168" fontId="21" fillId="29" borderId="16" xfId="0" applyNumberFormat="1" applyFont="1" applyFill="1" applyBorder="1" applyAlignment="1">
      <alignment horizontal="center" vertical="center"/>
    </xf>
    <xf numFmtId="167" fontId="21" fillId="25" borderId="40" xfId="4" applyFont="1" applyFill="1" applyBorder="1" applyAlignment="1">
      <alignment horizontal="center" vertical="center"/>
    </xf>
    <xf numFmtId="167" fontId="27" fillId="25" borderId="13" xfId="4" applyFont="1" applyFill="1" applyBorder="1" applyAlignment="1">
      <alignment horizontal="center" vertical="center" wrapText="1"/>
    </xf>
    <xf numFmtId="167" fontId="27" fillId="25" borderId="13" xfId="4" applyFont="1" applyFill="1" applyBorder="1" applyAlignment="1">
      <alignment horizontal="center" vertical="center"/>
    </xf>
    <xf numFmtId="168" fontId="27" fillId="25" borderId="40" xfId="0" applyNumberFormat="1" applyFont="1" applyFill="1" applyBorder="1" applyAlignment="1">
      <alignment horizontal="center" vertical="center" wrapText="1"/>
    </xf>
    <xf numFmtId="167" fontId="21" fillId="25" borderId="11" xfId="4" applyFont="1" applyFill="1" applyBorder="1" applyAlignment="1">
      <alignment vertical="center" wrapText="1"/>
    </xf>
    <xf numFmtId="167" fontId="21" fillId="26" borderId="29" xfId="4" applyFont="1" applyFill="1" applyBorder="1" applyAlignment="1">
      <alignment vertical="center"/>
    </xf>
    <xf numFmtId="167" fontId="21" fillId="25" borderId="10" xfId="4" applyFont="1" applyFill="1" applyBorder="1" applyAlignment="1">
      <alignment vertical="center" wrapText="1"/>
    </xf>
    <xf numFmtId="167" fontId="26" fillId="25" borderId="13" xfId="4" applyFont="1" applyFill="1" applyBorder="1" applyAlignment="1">
      <alignment vertical="center" wrapText="1"/>
    </xf>
    <xf numFmtId="167" fontId="27" fillId="25" borderId="13" xfId="4" applyFont="1" applyFill="1" applyBorder="1" applyAlignment="1">
      <alignment vertical="center" wrapText="1"/>
    </xf>
    <xf numFmtId="167" fontId="21" fillId="25" borderId="0" xfId="4" applyFont="1" applyFill="1" applyBorder="1" applyAlignment="1">
      <alignment vertical="center" wrapText="1"/>
    </xf>
    <xf numFmtId="167" fontId="21" fillId="25" borderId="13" xfId="4" applyFont="1" applyFill="1" applyBorder="1" applyAlignment="1">
      <alignment vertical="center" wrapText="1"/>
    </xf>
    <xf numFmtId="167" fontId="22" fillId="25" borderId="10" xfId="4" applyFont="1" applyFill="1" applyBorder="1" applyAlignment="1">
      <alignment vertical="center" wrapText="1"/>
    </xf>
    <xf numFmtId="167" fontId="21" fillId="25" borderId="19" xfId="4" applyFont="1" applyFill="1" applyBorder="1" applyAlignment="1">
      <alignment vertical="center" wrapText="1"/>
    </xf>
    <xf numFmtId="167" fontId="21" fillId="26" borderId="29" xfId="4" applyFont="1" applyFill="1" applyBorder="1" applyAlignment="1">
      <alignment vertical="center" wrapText="1"/>
    </xf>
    <xf numFmtId="167" fontId="22" fillId="25" borderId="13" xfId="4" applyFont="1" applyFill="1" applyBorder="1" applyAlignment="1">
      <alignment vertical="center" wrapText="1"/>
    </xf>
    <xf numFmtId="167" fontId="29" fillId="25" borderId="13" xfId="4" applyFont="1" applyFill="1" applyBorder="1" applyAlignment="1">
      <alignment vertical="center" wrapText="1"/>
    </xf>
    <xf numFmtId="167" fontId="23" fillId="25" borderId="13" xfId="4" applyFont="1" applyFill="1" applyBorder="1" applyAlignment="1">
      <alignment vertical="center" wrapText="1"/>
    </xf>
    <xf numFmtId="167" fontId="21" fillId="26" borderId="13" xfId="4" applyFont="1" applyFill="1" applyBorder="1" applyAlignment="1">
      <alignment vertical="center" wrapText="1"/>
    </xf>
    <xf numFmtId="167" fontId="22" fillId="26" borderId="29" xfId="4" applyFont="1" applyFill="1" applyBorder="1" applyAlignment="1">
      <alignment vertical="center" wrapText="1"/>
    </xf>
    <xf numFmtId="167" fontId="21" fillId="26" borderId="36" xfId="4" applyFont="1" applyFill="1" applyBorder="1" applyAlignment="1">
      <alignment vertical="center" wrapText="1"/>
    </xf>
    <xf numFmtId="167" fontId="21" fillId="28" borderId="13" xfId="4" applyFont="1" applyFill="1" applyBorder="1" applyAlignment="1">
      <alignment vertical="center" wrapText="1"/>
    </xf>
    <xf numFmtId="167" fontId="22" fillId="25" borderId="0" xfId="4" applyFont="1" applyFill="1" applyBorder="1" applyAlignment="1">
      <alignment vertical="center" wrapText="1"/>
    </xf>
    <xf numFmtId="168" fontId="21" fillId="25" borderId="10" xfId="0" applyNumberFormat="1" applyFont="1" applyFill="1" applyBorder="1" applyAlignment="1">
      <alignment horizontal="center" vertical="center" wrapText="1"/>
    </xf>
    <xf numFmtId="168" fontId="21" fillId="25" borderId="0" xfId="0" applyNumberFormat="1" applyFont="1" applyFill="1" applyBorder="1" applyAlignment="1">
      <alignment horizontal="center" vertical="center" wrapText="1"/>
    </xf>
    <xf numFmtId="168" fontId="27" fillId="25" borderId="10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1" fillId="0" borderId="41" xfId="0" applyFont="1" applyBorder="1" applyAlignment="1">
      <alignment horizontal="center" vertical="center" wrapText="1"/>
    </xf>
    <xf numFmtId="0" fontId="19" fillId="0" borderId="41" xfId="0" applyFont="1" applyFill="1" applyBorder="1" applyAlignment="1">
      <alignment horizontal="center" vertical="center" wrapText="1"/>
    </xf>
    <xf numFmtId="168" fontId="24" fillId="25" borderId="41" xfId="0" applyNumberFormat="1" applyFont="1" applyFill="1" applyBorder="1" applyAlignment="1">
      <alignment horizontal="center" vertical="center" wrapText="1"/>
    </xf>
    <xf numFmtId="0" fontId="19" fillId="28" borderId="41" xfId="0" applyFont="1" applyFill="1" applyBorder="1" applyAlignment="1">
      <alignment horizontal="center" vertical="center" wrapText="1"/>
    </xf>
    <xf numFmtId="168" fontId="21" fillId="27" borderId="41" xfId="0" applyNumberFormat="1" applyFont="1" applyFill="1" applyBorder="1" applyAlignment="1">
      <alignment horizontal="center" vertical="center" wrapText="1"/>
    </xf>
    <xf numFmtId="15" fontId="34" fillId="31" borderId="41" xfId="0" applyNumberFormat="1" applyFont="1" applyFill="1" applyBorder="1" applyAlignment="1">
      <alignment horizontal="center" vertical="center" wrapText="1"/>
    </xf>
    <xf numFmtId="0" fontId="34" fillId="31" borderId="41" xfId="0" applyNumberFormat="1" applyFont="1" applyFill="1" applyBorder="1" applyAlignment="1">
      <alignment horizontal="center" vertical="center" wrapText="1"/>
    </xf>
    <xf numFmtId="0" fontId="27" fillId="31" borderId="41" xfId="0" applyNumberFormat="1" applyFont="1" applyFill="1" applyBorder="1" applyAlignment="1">
      <alignment horizontal="center" vertical="center" wrapText="1"/>
    </xf>
    <xf numFmtId="168" fontId="21" fillId="25" borderId="41" xfId="0" applyNumberFormat="1" applyFont="1" applyFill="1" applyBorder="1" applyAlignment="1">
      <alignment horizontal="center" vertical="center" wrapText="1"/>
    </xf>
    <xf numFmtId="0" fontId="27" fillId="31" borderId="40" xfId="0" applyNumberFormat="1" applyFont="1" applyFill="1" applyBorder="1" applyAlignment="1">
      <alignment horizontal="center" wrapText="1"/>
    </xf>
    <xf numFmtId="0" fontId="27" fillId="31" borderId="40" xfId="0" applyNumberFormat="1" applyFont="1" applyFill="1" applyBorder="1" applyAlignment="1">
      <alignment horizontal="center" vertical="center" wrapText="1"/>
    </xf>
    <xf numFmtId="14" fontId="27" fillId="31" borderId="40" xfId="0" applyNumberFormat="1" applyFont="1" applyFill="1" applyBorder="1" applyAlignment="1">
      <alignment horizontal="center" vertical="center" wrapText="1"/>
    </xf>
    <xf numFmtId="0" fontId="34" fillId="31" borderId="40" xfId="0" applyNumberFormat="1" applyFont="1" applyFill="1" applyBorder="1" applyAlignment="1">
      <alignment horizontal="center" vertical="center" wrapText="1"/>
    </xf>
    <xf numFmtId="168" fontId="27" fillId="25" borderId="0" xfId="0" applyNumberFormat="1" applyFont="1" applyFill="1" applyBorder="1" applyAlignment="1">
      <alignment horizontal="center" vertical="center" wrapText="1"/>
    </xf>
    <xf numFmtId="168" fontId="27" fillId="25" borderId="0" xfId="0" applyNumberFormat="1" applyFont="1" applyFill="1" applyBorder="1" applyAlignment="1">
      <alignment horizontal="center" vertical="center"/>
    </xf>
    <xf numFmtId="15" fontId="34" fillId="31" borderId="40" xfId="0" applyNumberFormat="1" applyFont="1" applyFill="1" applyBorder="1" applyAlignment="1">
      <alignment horizontal="center" vertical="center" wrapText="1"/>
    </xf>
    <xf numFmtId="168" fontId="21" fillId="25" borderId="10" xfId="114" applyNumberFormat="1" applyFont="1" applyFill="1" applyBorder="1" applyAlignment="1">
      <alignment horizontal="center" vertical="center" wrapText="1"/>
    </xf>
    <xf numFmtId="168" fontId="27" fillId="25" borderId="40" xfId="0" applyNumberFormat="1" applyFont="1" applyFill="1" applyBorder="1" applyAlignment="1">
      <alignment vertical="center" wrapText="1"/>
    </xf>
    <xf numFmtId="168" fontId="27" fillId="25" borderId="40" xfId="0" applyNumberFormat="1" applyFont="1" applyFill="1" applyBorder="1" applyAlignment="1">
      <alignment horizontal="center" vertical="center"/>
    </xf>
    <xf numFmtId="170" fontId="21" fillId="25" borderId="40" xfId="0" applyNumberFormat="1" applyFont="1" applyFill="1" applyBorder="1" applyAlignment="1">
      <alignment horizontal="center" vertical="center" wrapText="1"/>
    </xf>
    <xf numFmtId="168" fontId="21" fillId="25" borderId="0" xfId="0" applyNumberFormat="1" applyFont="1" applyFill="1" applyBorder="1" applyAlignment="1">
      <alignment horizontal="center" vertical="center" wrapText="1"/>
    </xf>
    <xf numFmtId="0" fontId="35" fillId="0" borderId="41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168" fontId="21" fillId="25" borderId="41" xfId="0" applyNumberFormat="1" applyFont="1" applyFill="1" applyBorder="1" applyAlignment="1">
      <alignment horizontal="center" vertical="center"/>
    </xf>
    <xf numFmtId="168" fontId="21" fillId="25" borderId="10" xfId="0" applyNumberFormat="1" applyFont="1" applyFill="1" applyBorder="1" applyAlignment="1">
      <alignment horizontal="center" vertical="center" wrapText="1"/>
    </xf>
    <xf numFmtId="14" fontId="27" fillId="31" borderId="41" xfId="0" applyNumberFormat="1" applyFont="1" applyFill="1" applyBorder="1" applyAlignment="1">
      <alignment horizontal="center" vertical="center" wrapText="1"/>
    </xf>
    <xf numFmtId="168" fontId="27" fillId="25" borderId="41" xfId="0" applyNumberFormat="1" applyFont="1" applyFill="1" applyBorder="1" applyAlignment="1">
      <alignment horizontal="center" vertical="center" wrapText="1"/>
    </xf>
    <xf numFmtId="168" fontId="22" fillId="25" borderId="41" xfId="0" applyNumberFormat="1" applyFont="1" applyFill="1" applyBorder="1" applyAlignment="1">
      <alignment horizontal="center" vertical="center"/>
    </xf>
    <xf numFmtId="167" fontId="27" fillId="25" borderId="41" xfId="4" applyFont="1" applyFill="1" applyBorder="1" applyAlignment="1">
      <alignment vertical="center" wrapText="1"/>
    </xf>
    <xf numFmtId="168" fontId="23" fillId="25" borderId="41" xfId="0" applyNumberFormat="1" applyFont="1" applyFill="1" applyBorder="1" applyAlignment="1">
      <alignment horizontal="center" vertical="center" wrapText="1"/>
    </xf>
    <xf numFmtId="167" fontId="27" fillId="25" borderId="41" xfId="4" applyFont="1" applyFill="1" applyBorder="1" applyAlignment="1">
      <alignment horizontal="center" vertical="center" wrapText="1"/>
    </xf>
    <xf numFmtId="167" fontId="27" fillId="25" borderId="40" xfId="4" applyFont="1" applyFill="1" applyBorder="1" applyAlignment="1">
      <alignment vertical="center" wrapText="1"/>
    </xf>
    <xf numFmtId="168" fontId="21" fillId="25" borderId="0" xfId="0" applyNumberFormat="1" applyFont="1" applyFill="1" applyBorder="1" applyAlignment="1">
      <alignment horizontal="center" vertical="center" wrapText="1"/>
    </xf>
    <xf numFmtId="168" fontId="21" fillId="25" borderId="10" xfId="0" applyNumberFormat="1" applyFont="1" applyFill="1" applyBorder="1" applyAlignment="1">
      <alignment horizontal="center" vertical="center" wrapText="1"/>
    </xf>
    <xf numFmtId="0" fontId="40" fillId="0" borderId="40" xfId="0" applyFont="1" applyBorder="1" applyAlignment="1">
      <alignment horizontal="center" vertical="center" wrapText="1"/>
    </xf>
    <xf numFmtId="0" fontId="39" fillId="25" borderId="40" xfId="0" applyFont="1" applyFill="1" applyBorder="1" applyAlignment="1">
      <alignment horizontal="center" vertical="center" wrapText="1"/>
    </xf>
    <xf numFmtId="168" fontId="21" fillId="25" borderId="0" xfId="0" applyNumberFormat="1" applyFont="1" applyFill="1" applyBorder="1" applyAlignment="1">
      <alignment horizontal="center" vertical="center" wrapText="1"/>
    </xf>
    <xf numFmtId="168" fontId="21" fillId="25" borderId="10" xfId="0" applyNumberFormat="1" applyFont="1" applyFill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  <xf numFmtId="167" fontId="27" fillId="25" borderId="41" xfId="4" applyFont="1" applyFill="1" applyBorder="1" applyAlignment="1">
      <alignment horizontal="center" vertical="center"/>
    </xf>
    <xf numFmtId="167" fontId="26" fillId="25" borderId="41" xfId="4" applyFont="1" applyFill="1" applyBorder="1" applyAlignment="1">
      <alignment vertical="center" wrapText="1"/>
    </xf>
    <xf numFmtId="0" fontId="21" fillId="0" borderId="12" xfId="0" applyFont="1" applyBorder="1" applyAlignment="1">
      <alignment horizontal="center" vertical="center"/>
    </xf>
    <xf numFmtId="168" fontId="22" fillId="25" borderId="41" xfId="0" applyNumberFormat="1" applyFont="1" applyFill="1" applyBorder="1" applyAlignment="1">
      <alignment horizontal="center" vertical="center" wrapText="1"/>
    </xf>
    <xf numFmtId="168" fontId="21" fillId="25" borderId="10" xfId="0" applyNumberFormat="1" applyFont="1" applyFill="1" applyBorder="1" applyAlignment="1">
      <alignment horizontal="center" vertical="center" wrapText="1"/>
    </xf>
    <xf numFmtId="168" fontId="21" fillId="25" borderId="0" xfId="0" applyNumberFormat="1" applyFont="1" applyFill="1" applyBorder="1" applyAlignment="1">
      <alignment horizontal="center" vertical="center" wrapText="1"/>
    </xf>
    <xf numFmtId="168" fontId="27" fillId="25" borderId="15" xfId="0" applyNumberFormat="1" applyFont="1" applyFill="1" applyBorder="1" applyAlignment="1">
      <alignment horizontal="center" vertical="center" wrapText="1"/>
    </xf>
    <xf numFmtId="0" fontId="22" fillId="25" borderId="0" xfId="0" applyFont="1" applyFill="1" applyAlignment="1">
      <alignment horizontal="center"/>
    </xf>
    <xf numFmtId="168" fontId="21" fillId="25" borderId="10" xfId="0" applyNumberFormat="1" applyFont="1" applyFill="1" applyBorder="1" applyAlignment="1">
      <alignment horizontal="center" vertical="center" wrapText="1"/>
    </xf>
    <xf numFmtId="0" fontId="21" fillId="25" borderId="10" xfId="0" applyNumberFormat="1" applyFont="1" applyFill="1" applyBorder="1" applyAlignment="1">
      <alignment horizontal="center" vertical="center" wrapText="1"/>
    </xf>
    <xf numFmtId="0" fontId="21" fillId="25" borderId="40" xfId="0" applyNumberFormat="1" applyFont="1" applyFill="1" applyBorder="1" applyAlignment="1">
      <alignment horizontal="center" vertical="center" wrapText="1"/>
    </xf>
    <xf numFmtId="168" fontId="26" fillId="25" borderId="0" xfId="0" applyNumberFormat="1" applyFont="1" applyFill="1" applyBorder="1" applyAlignment="1">
      <alignment horizontal="center" vertical="center" wrapText="1"/>
    </xf>
    <xf numFmtId="168" fontId="26" fillId="25" borderId="0" xfId="0" applyNumberFormat="1" applyFont="1" applyFill="1" applyBorder="1" applyAlignment="1">
      <alignment horizontal="center" vertical="center"/>
    </xf>
    <xf numFmtId="0" fontId="27" fillId="0" borderId="41" xfId="0" applyFont="1" applyBorder="1" applyAlignment="1">
      <alignment horizontal="justify" vertical="center"/>
    </xf>
    <xf numFmtId="174" fontId="27" fillId="25" borderId="40" xfId="0" applyNumberFormat="1" applyFont="1" applyFill="1" applyBorder="1" applyAlignment="1">
      <alignment horizontal="center" vertical="center" wrapText="1"/>
    </xf>
    <xf numFmtId="172" fontId="27" fillId="25" borderId="42" xfId="0" applyNumberFormat="1" applyFont="1" applyFill="1" applyBorder="1" applyAlignment="1">
      <alignment horizontal="center" vertical="center" wrapText="1"/>
    </xf>
    <xf numFmtId="175" fontId="27" fillId="25" borderId="42" xfId="0" applyNumberFormat="1" applyFont="1" applyFill="1" applyBorder="1" applyAlignment="1">
      <alignment horizontal="center" vertical="center" wrapText="1"/>
    </xf>
    <xf numFmtId="176" fontId="21" fillId="25" borderId="10" xfId="0" applyNumberFormat="1" applyFont="1" applyFill="1" applyBorder="1" applyAlignment="1">
      <alignment horizontal="center" vertical="center" wrapText="1"/>
    </xf>
    <xf numFmtId="168" fontId="21" fillId="25" borderId="10" xfId="0" applyNumberFormat="1" applyFont="1" applyFill="1" applyBorder="1" applyAlignment="1">
      <alignment horizontal="center" vertical="center" wrapText="1"/>
    </xf>
    <xf numFmtId="168" fontId="21" fillId="25" borderId="0" xfId="0" applyNumberFormat="1" applyFont="1" applyFill="1" applyBorder="1" applyAlignment="1">
      <alignment horizontal="center" vertical="center" wrapText="1"/>
    </xf>
    <xf numFmtId="0" fontId="21" fillId="25" borderId="10" xfId="0" applyNumberFormat="1" applyFont="1" applyFill="1" applyBorder="1" applyAlignment="1">
      <alignment horizontal="center"/>
    </xf>
    <xf numFmtId="167" fontId="21" fillId="25" borderId="41" xfId="4" applyFont="1" applyFill="1" applyBorder="1" applyAlignment="1">
      <alignment horizontal="center" vertical="center" wrapText="1"/>
    </xf>
    <xf numFmtId="177" fontId="21" fillId="25" borderId="11" xfId="0" applyNumberFormat="1" applyFont="1" applyFill="1" applyBorder="1" applyAlignment="1">
      <alignment horizontal="center" vertical="center" wrapText="1"/>
    </xf>
    <xf numFmtId="177" fontId="21" fillId="25" borderId="20" xfId="0" applyNumberFormat="1" applyFont="1" applyFill="1" applyBorder="1" applyAlignment="1">
      <alignment horizontal="center" vertical="center" wrapText="1"/>
    </xf>
    <xf numFmtId="177" fontId="21" fillId="32" borderId="11" xfId="0" applyNumberFormat="1" applyFont="1" applyFill="1" applyBorder="1" applyAlignment="1">
      <alignment horizontal="center" vertical="center" wrapText="1"/>
    </xf>
    <xf numFmtId="177" fontId="21" fillId="25" borderId="26" xfId="0" applyNumberFormat="1" applyFont="1" applyFill="1" applyBorder="1" applyAlignment="1">
      <alignment horizontal="center" vertical="center" wrapText="1"/>
    </xf>
    <xf numFmtId="177" fontId="21" fillId="25" borderId="0" xfId="0" applyNumberFormat="1" applyFont="1" applyFill="1" applyBorder="1" applyAlignment="1">
      <alignment horizontal="center" vertical="center" wrapText="1"/>
    </xf>
    <xf numFmtId="177" fontId="21" fillId="26" borderId="28" xfId="0" applyNumberFormat="1" applyFont="1" applyFill="1" applyBorder="1" applyAlignment="1">
      <alignment horizontal="center" vertical="center" wrapText="1"/>
    </xf>
    <xf numFmtId="177" fontId="21" fillId="26" borderId="29" xfId="0" applyNumberFormat="1" applyFont="1" applyFill="1" applyBorder="1" applyAlignment="1">
      <alignment horizontal="center" vertical="center"/>
    </xf>
    <xf numFmtId="177" fontId="21" fillId="32" borderId="29" xfId="0" applyNumberFormat="1" applyFont="1" applyFill="1" applyBorder="1" applyAlignment="1">
      <alignment horizontal="center" vertical="center"/>
    </xf>
    <xf numFmtId="177" fontId="21" fillId="26" borderId="30" xfId="0" applyNumberFormat="1" applyFont="1" applyFill="1" applyBorder="1" applyAlignment="1">
      <alignment horizontal="center" vertical="center"/>
    </xf>
    <xf numFmtId="177" fontId="21" fillId="25" borderId="0" xfId="0" applyNumberFormat="1" applyFont="1" applyFill="1" applyBorder="1" applyAlignment="1">
      <alignment horizontal="center" vertical="center"/>
    </xf>
    <xf numFmtId="177" fontId="21" fillId="25" borderId="10" xfId="0" applyNumberFormat="1" applyFont="1" applyFill="1" applyBorder="1" applyAlignment="1">
      <alignment horizontal="center" vertical="center"/>
    </xf>
    <xf numFmtId="177" fontId="27" fillId="25" borderId="10" xfId="0" applyNumberFormat="1" applyFont="1" applyFill="1" applyBorder="1" applyAlignment="1">
      <alignment horizontal="center" vertical="center" wrapText="1"/>
    </xf>
    <xf numFmtId="177" fontId="21" fillId="25" borderId="10" xfId="0" applyNumberFormat="1" applyFont="1" applyFill="1" applyBorder="1" applyAlignment="1">
      <alignment horizontal="center" vertical="center" wrapText="1"/>
    </xf>
    <xf numFmtId="177" fontId="21" fillId="32" borderId="10" xfId="0" applyNumberFormat="1" applyFont="1" applyFill="1" applyBorder="1" applyAlignment="1">
      <alignment horizontal="center" vertical="center" wrapText="1"/>
    </xf>
    <xf numFmtId="177" fontId="21" fillId="25" borderId="10" xfId="4" applyNumberFormat="1" applyFont="1" applyFill="1" applyBorder="1" applyAlignment="1">
      <alignment horizontal="center" vertical="center" wrapText="1"/>
    </xf>
    <xf numFmtId="177" fontId="26" fillId="25" borderId="13" xfId="0" applyNumberFormat="1" applyFont="1" applyFill="1" applyBorder="1" applyAlignment="1">
      <alignment horizontal="center" vertical="center" wrapText="1"/>
    </xf>
    <xf numFmtId="177" fontId="26" fillId="25" borderId="13" xfId="0" applyNumberFormat="1" applyFont="1" applyFill="1" applyBorder="1" applyAlignment="1">
      <alignment horizontal="center" vertical="center"/>
    </xf>
    <xf numFmtId="177" fontId="21" fillId="32" borderId="13" xfId="0" applyNumberFormat="1" applyFont="1" applyFill="1" applyBorder="1" applyAlignment="1">
      <alignment horizontal="center" vertical="center"/>
    </xf>
    <xf numFmtId="177" fontId="21" fillId="25" borderId="13" xfId="0" applyNumberFormat="1" applyFont="1" applyFill="1" applyBorder="1" applyAlignment="1">
      <alignment horizontal="center" vertical="center" wrapText="1"/>
    </xf>
    <xf numFmtId="177" fontId="21" fillId="25" borderId="13" xfId="0" applyNumberFormat="1" applyFont="1" applyFill="1" applyBorder="1" applyAlignment="1">
      <alignment horizontal="center" vertical="center"/>
    </xf>
    <xf numFmtId="177" fontId="21" fillId="25" borderId="13" xfId="0" applyNumberFormat="1" applyFont="1" applyFill="1" applyBorder="1" applyAlignment="1">
      <alignment vertical="center" wrapText="1"/>
    </xf>
    <xf numFmtId="177" fontId="21" fillId="25" borderId="13" xfId="4" applyNumberFormat="1" applyFont="1" applyFill="1" applyBorder="1" applyAlignment="1">
      <alignment horizontal="center" vertical="center"/>
    </xf>
    <xf numFmtId="177" fontId="21" fillId="25" borderId="41" xfId="0" applyNumberFormat="1" applyFont="1" applyFill="1" applyBorder="1" applyAlignment="1">
      <alignment horizontal="center" vertical="center" wrapText="1"/>
    </xf>
    <xf numFmtId="177" fontId="27" fillId="25" borderId="13" xfId="0" applyNumberFormat="1" applyFont="1" applyFill="1" applyBorder="1" applyAlignment="1">
      <alignment horizontal="center" vertical="center" wrapText="1"/>
    </xf>
    <xf numFmtId="177" fontId="27" fillId="25" borderId="13" xfId="0" applyNumberFormat="1" applyFont="1" applyFill="1" applyBorder="1" applyAlignment="1">
      <alignment horizontal="center" vertical="center"/>
    </xf>
    <xf numFmtId="177" fontId="27" fillId="32" borderId="13" xfId="0" applyNumberFormat="1" applyFont="1" applyFill="1" applyBorder="1" applyAlignment="1">
      <alignment horizontal="center" vertical="center" wrapText="1"/>
    </xf>
    <xf numFmtId="177" fontId="21" fillId="25" borderId="41" xfId="0" applyNumberFormat="1" applyFont="1" applyFill="1" applyBorder="1" applyAlignment="1">
      <alignment horizontal="center" vertical="center"/>
    </xf>
    <xf numFmtId="177" fontId="27" fillId="25" borderId="0" xfId="0" applyNumberFormat="1" applyFont="1" applyFill="1" applyBorder="1" applyAlignment="1">
      <alignment horizontal="center" vertical="center"/>
    </xf>
    <xf numFmtId="177" fontId="26" fillId="25" borderId="41" xfId="0" applyNumberFormat="1" applyFont="1" applyFill="1" applyBorder="1" applyAlignment="1">
      <alignment horizontal="center" vertical="center" wrapText="1"/>
    </xf>
    <xf numFmtId="177" fontId="26" fillId="25" borderId="41" xfId="0" applyNumberFormat="1" applyFont="1" applyFill="1" applyBorder="1" applyAlignment="1">
      <alignment horizontal="center" vertical="center"/>
    </xf>
    <xf numFmtId="177" fontId="27" fillId="25" borderId="41" xfId="0" applyNumberFormat="1" applyFont="1" applyFill="1" applyBorder="1" applyAlignment="1">
      <alignment horizontal="center" vertical="center" wrapText="1"/>
    </xf>
    <xf numFmtId="177" fontId="27" fillId="25" borderId="41" xfId="0" applyNumberFormat="1" applyFont="1" applyFill="1" applyBorder="1" applyAlignment="1">
      <alignment horizontal="center" vertical="center"/>
    </xf>
    <xf numFmtId="177" fontId="27" fillId="25" borderId="41" xfId="0" applyNumberFormat="1" applyFont="1" applyFill="1" applyBorder="1" applyAlignment="1">
      <alignment vertical="center" wrapText="1"/>
    </xf>
    <xf numFmtId="177" fontId="27" fillId="25" borderId="41" xfId="4" applyNumberFormat="1" applyFont="1" applyFill="1" applyBorder="1" applyAlignment="1">
      <alignment horizontal="center" vertical="center"/>
    </xf>
    <xf numFmtId="177" fontId="26" fillId="25" borderId="40" xfId="0" applyNumberFormat="1" applyFont="1" applyFill="1" applyBorder="1" applyAlignment="1">
      <alignment horizontal="center" vertical="center" wrapText="1"/>
    </xf>
    <xf numFmtId="177" fontId="26" fillId="25" borderId="40" xfId="0" applyNumberFormat="1" applyFont="1" applyFill="1" applyBorder="1" applyAlignment="1">
      <alignment horizontal="center" vertical="center"/>
    </xf>
    <xf numFmtId="177" fontId="21" fillId="25" borderId="40" xfId="0" applyNumberFormat="1" applyFont="1" applyFill="1" applyBorder="1" applyAlignment="1">
      <alignment horizontal="center" vertical="center" wrapText="1"/>
    </xf>
    <xf numFmtId="177" fontId="21" fillId="25" borderId="40" xfId="0" applyNumberFormat="1" applyFont="1" applyFill="1" applyBorder="1" applyAlignment="1">
      <alignment horizontal="center" vertical="center"/>
    </xf>
    <xf numFmtId="177" fontId="21" fillId="25" borderId="40" xfId="0" applyNumberFormat="1" applyFont="1" applyFill="1" applyBorder="1" applyAlignment="1">
      <alignment vertical="center" wrapText="1"/>
    </xf>
    <xf numFmtId="177" fontId="21" fillId="25" borderId="40" xfId="4" applyNumberFormat="1" applyFont="1" applyFill="1" applyBorder="1" applyAlignment="1">
      <alignment horizontal="center" vertical="center"/>
    </xf>
    <xf numFmtId="177" fontId="21" fillId="30" borderId="19" xfId="0" applyNumberFormat="1" applyFont="1" applyFill="1" applyBorder="1" applyAlignment="1">
      <alignment horizontal="center" vertical="center" wrapText="1"/>
    </xf>
    <xf numFmtId="177" fontId="21" fillId="32" borderId="0" xfId="0" applyNumberFormat="1" applyFont="1" applyFill="1" applyBorder="1" applyAlignment="1">
      <alignment horizontal="center" vertical="center" wrapText="1"/>
    </xf>
    <xf numFmtId="177" fontId="21" fillId="25" borderId="0" xfId="0" applyNumberFormat="1" applyFont="1" applyFill="1" applyBorder="1" applyAlignment="1">
      <alignment vertical="center" wrapText="1"/>
    </xf>
    <xf numFmtId="177" fontId="22" fillId="25" borderId="0" xfId="0" applyNumberFormat="1" applyFont="1" applyFill="1" applyBorder="1" applyAlignment="1">
      <alignment horizontal="center" vertical="center" wrapText="1"/>
    </xf>
    <xf numFmtId="177" fontId="21" fillId="29" borderId="0" xfId="0" applyNumberFormat="1" applyFont="1" applyFill="1" applyBorder="1" applyAlignment="1">
      <alignment horizontal="center" vertical="center" wrapText="1"/>
    </xf>
    <xf numFmtId="177" fontId="21" fillId="26" borderId="38" xfId="0" applyNumberFormat="1" applyFont="1" applyFill="1" applyBorder="1" applyAlignment="1">
      <alignment horizontal="center" vertical="center" wrapText="1"/>
    </xf>
    <xf numFmtId="177" fontId="21" fillId="26" borderId="36" xfId="0" applyNumberFormat="1" applyFont="1" applyFill="1" applyBorder="1" applyAlignment="1">
      <alignment horizontal="center" vertical="center"/>
    </xf>
    <xf numFmtId="177" fontId="21" fillId="26" borderId="36" xfId="0" applyNumberFormat="1" applyFont="1" applyFill="1" applyBorder="1" applyAlignment="1">
      <alignment horizontal="center" vertical="center" wrapText="1"/>
    </xf>
    <xf numFmtId="177" fontId="21" fillId="32" borderId="36" xfId="0" applyNumberFormat="1" applyFont="1" applyFill="1" applyBorder="1" applyAlignment="1">
      <alignment horizontal="center" vertical="center"/>
    </xf>
    <xf numFmtId="177" fontId="21" fillId="26" borderId="39" xfId="0" applyNumberFormat="1" applyFont="1" applyFill="1" applyBorder="1" applyAlignment="1">
      <alignment horizontal="center" vertical="center"/>
    </xf>
    <xf numFmtId="177" fontId="41" fillId="0" borderId="0" xfId="0" applyNumberFormat="1" applyFont="1"/>
    <xf numFmtId="177" fontId="21" fillId="25" borderId="17" xfId="0" applyNumberFormat="1" applyFont="1" applyFill="1" applyBorder="1" applyAlignment="1">
      <alignment horizontal="center" vertical="center" wrapText="1"/>
    </xf>
    <xf numFmtId="177" fontId="22" fillId="25" borderId="10" xfId="0" applyNumberFormat="1" applyFont="1" applyFill="1" applyBorder="1" applyAlignment="1">
      <alignment horizontal="center" vertical="center" wrapText="1"/>
    </xf>
    <xf numFmtId="177" fontId="27" fillId="32" borderId="10" xfId="0" applyNumberFormat="1" applyFont="1" applyFill="1" applyBorder="1" applyAlignment="1">
      <alignment horizontal="center" vertical="center" wrapText="1"/>
    </xf>
    <xf numFmtId="177" fontId="27" fillId="31" borderId="13" xfId="0" applyNumberFormat="1" applyFont="1" applyFill="1" applyBorder="1" applyAlignment="1">
      <alignment horizontal="center" vertical="center" wrapText="1"/>
    </xf>
    <xf numFmtId="177" fontId="21" fillId="25" borderId="10" xfId="0" quotePrefix="1" applyNumberFormat="1" applyFont="1" applyFill="1" applyBorder="1" applyAlignment="1">
      <alignment horizontal="center" vertical="center" wrapText="1"/>
    </xf>
    <xf numFmtId="177" fontId="21" fillId="25" borderId="13" xfId="4" applyNumberFormat="1" applyFont="1" applyFill="1" applyBorder="1" applyAlignment="1">
      <alignment horizontal="center" vertical="center" wrapText="1"/>
    </xf>
    <xf numFmtId="177" fontId="21" fillId="32" borderId="13" xfId="0" applyNumberFormat="1" applyFont="1" applyFill="1" applyBorder="1" applyAlignment="1">
      <alignment horizontal="center" vertical="center" wrapText="1"/>
    </xf>
    <xf numFmtId="177" fontId="27" fillId="25" borderId="40" xfId="0" applyNumberFormat="1" applyFont="1" applyFill="1" applyBorder="1" applyAlignment="1">
      <alignment horizontal="center" vertical="center"/>
    </xf>
    <xf numFmtId="177" fontId="27" fillId="25" borderId="40" xfId="0" applyNumberFormat="1" applyFont="1" applyFill="1" applyBorder="1" applyAlignment="1">
      <alignment horizontal="center" vertical="center" wrapText="1"/>
    </xf>
    <xf numFmtId="177" fontId="27" fillId="32" borderId="40" xfId="0" applyNumberFormat="1" applyFont="1" applyFill="1" applyBorder="1" applyAlignment="1">
      <alignment horizontal="center" vertical="center"/>
    </xf>
    <xf numFmtId="177" fontId="29" fillId="25" borderId="40" xfId="0" applyNumberFormat="1" applyFont="1" applyFill="1" applyBorder="1" applyAlignment="1">
      <alignment horizontal="center" vertical="center"/>
    </xf>
    <xf numFmtId="177" fontId="29" fillId="25" borderId="40" xfId="0" applyNumberFormat="1" applyFont="1" applyFill="1" applyBorder="1" applyAlignment="1">
      <alignment horizontal="center" vertical="center" wrapText="1"/>
    </xf>
    <xf numFmtId="177" fontId="29" fillId="25" borderId="0" xfId="0" applyNumberFormat="1" applyFont="1" applyFill="1" applyBorder="1" applyAlignment="1">
      <alignment horizontal="center" vertical="center" wrapText="1"/>
    </xf>
    <xf numFmtId="177" fontId="21" fillId="30" borderId="25" xfId="0" applyNumberFormat="1" applyFont="1" applyFill="1" applyBorder="1" applyAlignment="1">
      <alignment horizontal="center" vertical="center" wrapText="1"/>
    </xf>
    <xf numFmtId="177" fontId="21" fillId="26" borderId="29" xfId="0" applyNumberFormat="1" applyFont="1" applyFill="1" applyBorder="1" applyAlignment="1">
      <alignment horizontal="center" vertical="center" wrapText="1"/>
    </xf>
    <xf numFmtId="177" fontId="21" fillId="32" borderId="29" xfId="0" applyNumberFormat="1" applyFont="1" applyFill="1" applyBorder="1" applyAlignment="1">
      <alignment horizontal="center" vertical="center" wrapText="1"/>
    </xf>
    <xf numFmtId="177" fontId="21" fillId="26" borderId="33" xfId="0" applyNumberFormat="1" applyFont="1" applyFill="1" applyBorder="1" applyAlignment="1">
      <alignment horizontal="center" vertical="center" wrapText="1"/>
    </xf>
    <xf numFmtId="177" fontId="26" fillId="25" borderId="10" xfId="0" applyNumberFormat="1" applyFont="1" applyFill="1" applyBorder="1" applyAlignment="1">
      <alignment horizontal="center" vertical="center" wrapText="1"/>
    </xf>
    <xf numFmtId="177" fontId="21" fillId="32" borderId="10" xfId="4" applyNumberFormat="1" applyFont="1" applyFill="1" applyBorder="1" applyAlignment="1">
      <alignment horizontal="center" vertical="center" wrapText="1"/>
    </xf>
    <xf numFmtId="177" fontId="21" fillId="30" borderId="11" xfId="0" applyNumberFormat="1" applyFont="1" applyFill="1" applyBorder="1" applyAlignment="1">
      <alignment horizontal="center" vertical="center"/>
    </xf>
    <xf numFmtId="177" fontId="21" fillId="32" borderId="0" xfId="0" applyNumberFormat="1" applyFont="1" applyFill="1" applyBorder="1" applyAlignment="1">
      <alignment horizontal="center" vertical="center"/>
    </xf>
    <xf numFmtId="177" fontId="21" fillId="25" borderId="0" xfId="0" applyNumberFormat="1" applyFont="1" applyFill="1" applyBorder="1" applyAlignment="1">
      <alignment vertical="center"/>
    </xf>
    <xf numFmtId="177" fontId="22" fillId="25" borderId="0" xfId="0" applyNumberFormat="1" applyFont="1" applyFill="1" applyBorder="1" applyAlignment="1">
      <alignment horizontal="center" vertical="center"/>
    </xf>
    <xf numFmtId="177" fontId="21" fillId="26" borderId="30" xfId="0" applyNumberFormat="1" applyFont="1" applyFill="1" applyBorder="1" applyAlignment="1">
      <alignment horizontal="center" vertical="center" wrapText="1"/>
    </xf>
    <xf numFmtId="177" fontId="21" fillId="25" borderId="22" xfId="4" applyNumberFormat="1" applyFont="1" applyFill="1" applyBorder="1" applyAlignment="1">
      <alignment horizontal="center" vertical="center" wrapText="1"/>
    </xf>
    <xf numFmtId="177" fontId="21" fillId="30" borderId="11" xfId="0" applyNumberFormat="1" applyFont="1" applyFill="1" applyBorder="1" applyAlignment="1">
      <alignment horizontal="center" vertical="center" wrapText="1"/>
    </xf>
    <xf numFmtId="177" fontId="21" fillId="29" borderId="11" xfId="0" applyNumberFormat="1" applyFont="1" applyFill="1" applyBorder="1" applyAlignment="1">
      <alignment horizontal="center" vertical="center" wrapText="1"/>
    </xf>
    <xf numFmtId="177" fontId="29" fillId="25" borderId="10" xfId="0" applyNumberFormat="1" applyFont="1" applyFill="1" applyBorder="1" applyAlignment="1">
      <alignment horizontal="center" vertical="center" wrapText="1"/>
    </xf>
    <xf numFmtId="177" fontId="29" fillId="31" borderId="13" xfId="0" applyNumberFormat="1" applyFont="1" applyFill="1" applyBorder="1" applyAlignment="1">
      <alignment horizontal="center" vertical="center" wrapText="1"/>
    </xf>
    <xf numFmtId="177" fontId="22" fillId="25" borderId="13" xfId="0" applyNumberFormat="1" applyFont="1" applyFill="1" applyBorder="1" applyAlignment="1">
      <alignment horizontal="center" vertical="center" wrapText="1"/>
    </xf>
    <xf numFmtId="177" fontId="22" fillId="25" borderId="13" xfId="4" applyNumberFormat="1" applyFont="1" applyFill="1" applyBorder="1" applyAlignment="1">
      <alignment horizontal="center" vertical="center" wrapText="1"/>
    </xf>
    <xf numFmtId="177" fontId="21" fillId="25" borderId="15" xfId="0" applyNumberFormat="1" applyFont="1" applyFill="1" applyBorder="1" applyAlignment="1">
      <alignment horizontal="center" vertical="center" wrapText="1"/>
    </xf>
    <xf numFmtId="177" fontId="29" fillId="25" borderId="13" xfId="0" applyNumberFormat="1" applyFont="1" applyFill="1" applyBorder="1" applyAlignment="1">
      <alignment horizontal="center" vertical="center" wrapText="1"/>
    </xf>
    <xf numFmtId="177" fontId="27" fillId="31" borderId="13" xfId="0" applyNumberFormat="1" applyFont="1" applyFill="1" applyBorder="1" applyAlignment="1">
      <alignment horizontal="center" wrapText="1"/>
    </xf>
    <xf numFmtId="177" fontId="27" fillId="33" borderId="13" xfId="0" applyNumberFormat="1" applyFont="1" applyFill="1" applyBorder="1" applyAlignment="1">
      <alignment horizontal="center" vertical="center" wrapText="1"/>
    </xf>
    <xf numFmtId="177" fontId="30" fillId="31" borderId="13" xfId="135" quotePrefix="1" applyNumberFormat="1" applyFont="1" applyFill="1" applyBorder="1" applyAlignment="1">
      <alignment horizontal="center" vertical="center" wrapText="1"/>
    </xf>
    <xf numFmtId="177" fontId="23" fillId="25" borderId="13" xfId="0" applyNumberFormat="1" applyFont="1" applyFill="1" applyBorder="1" applyAlignment="1">
      <alignment horizontal="center" vertical="center" wrapText="1"/>
    </xf>
    <xf numFmtId="177" fontId="22" fillId="25" borderId="13" xfId="0" applyNumberFormat="1" applyFont="1" applyFill="1" applyBorder="1" applyAlignment="1">
      <alignment horizontal="center" vertical="center"/>
    </xf>
    <xf numFmtId="177" fontId="23" fillId="32" borderId="13" xfId="0" applyNumberFormat="1" applyFont="1" applyFill="1" applyBorder="1" applyAlignment="1">
      <alignment horizontal="center" vertical="center" wrapText="1"/>
    </xf>
    <xf numFmtId="177" fontId="23" fillId="25" borderId="41" xfId="0" applyNumberFormat="1" applyFont="1" applyFill="1" applyBorder="1" applyAlignment="1">
      <alignment horizontal="center" vertical="center" wrapText="1"/>
    </xf>
    <xf numFmtId="177" fontId="21" fillId="30" borderId="25" xfId="0" applyNumberFormat="1" applyFont="1" applyFill="1" applyBorder="1" applyAlignment="1">
      <alignment horizontal="center" vertical="center"/>
    </xf>
    <xf numFmtId="177" fontId="21" fillId="29" borderId="22" xfId="0" applyNumberFormat="1" applyFont="1" applyFill="1" applyBorder="1" applyAlignment="1">
      <alignment horizontal="center" vertical="center"/>
    </xf>
    <xf numFmtId="177" fontId="21" fillId="26" borderId="13" xfId="0" applyNumberFormat="1" applyFont="1" applyFill="1" applyBorder="1" applyAlignment="1">
      <alignment horizontal="center" vertical="center" wrapText="1"/>
    </xf>
    <xf numFmtId="177" fontId="22" fillId="25" borderId="13" xfId="0" quotePrefix="1" applyNumberFormat="1" applyFont="1" applyFill="1" applyBorder="1" applyAlignment="1">
      <alignment horizontal="center" vertical="center" wrapText="1"/>
    </xf>
    <xf numFmtId="177" fontId="22" fillId="25" borderId="0" xfId="1" applyNumberFormat="1" applyFont="1" applyFill="1" applyBorder="1" applyAlignment="1">
      <alignment horizontal="center" vertical="center" wrapText="1"/>
    </xf>
    <xf numFmtId="177" fontId="21" fillId="32" borderId="35" xfId="0" applyNumberFormat="1" applyFont="1" applyFill="1" applyBorder="1" applyAlignment="1">
      <alignment horizontal="center" vertical="center" wrapText="1"/>
    </xf>
    <xf numFmtId="177" fontId="22" fillId="26" borderId="29" xfId="0" applyNumberFormat="1" applyFont="1" applyFill="1" applyBorder="1" applyAlignment="1">
      <alignment horizontal="center" vertical="center" wrapText="1"/>
    </xf>
    <xf numFmtId="177" fontId="23" fillId="25" borderId="10" xfId="0" applyNumberFormat="1" applyFont="1" applyFill="1" applyBorder="1" applyAlignment="1">
      <alignment horizontal="center" vertical="center" wrapText="1"/>
    </xf>
    <xf numFmtId="177" fontId="21" fillId="30" borderId="31" xfId="0" applyNumberFormat="1" applyFont="1" applyFill="1" applyBorder="1" applyAlignment="1">
      <alignment horizontal="center" vertical="center" wrapText="1"/>
    </xf>
    <xf numFmtId="177" fontId="21" fillId="32" borderId="32" xfId="0" applyNumberFormat="1" applyFont="1" applyFill="1" applyBorder="1" applyAlignment="1">
      <alignment horizontal="center" vertical="center" wrapText="1"/>
    </xf>
    <xf numFmtId="177" fontId="21" fillId="25" borderId="32" xfId="0" applyNumberFormat="1" applyFont="1" applyFill="1" applyBorder="1" applyAlignment="1">
      <alignment vertical="center" wrapText="1"/>
    </xf>
    <xf numFmtId="177" fontId="21" fillId="25" borderId="11" xfId="0" applyNumberFormat="1" applyFont="1" applyFill="1" applyBorder="1" applyAlignment="1">
      <alignment vertical="center" wrapText="1"/>
    </xf>
    <xf numFmtId="177" fontId="21" fillId="28" borderId="13" xfId="0" applyNumberFormat="1" applyFont="1" applyFill="1" applyBorder="1" applyAlignment="1">
      <alignment horizontal="center" vertical="center" wrapText="1"/>
    </xf>
    <xf numFmtId="177" fontId="21" fillId="28" borderId="13" xfId="0" applyNumberFormat="1" applyFont="1" applyFill="1" applyBorder="1" applyAlignment="1">
      <alignment vertical="center" wrapText="1"/>
    </xf>
    <xf numFmtId="177" fontId="21" fillId="28" borderId="13" xfId="0" applyNumberFormat="1" applyFont="1" applyFill="1" applyBorder="1" applyAlignment="1">
      <alignment horizontal="left" vertical="center" wrapText="1"/>
    </xf>
    <xf numFmtId="177" fontId="22" fillId="28" borderId="13" xfId="0" applyNumberFormat="1" applyFont="1" applyFill="1" applyBorder="1" applyAlignment="1">
      <alignment horizontal="center" vertical="center" wrapText="1"/>
    </xf>
    <xf numFmtId="177" fontId="42" fillId="25" borderId="0" xfId="0" applyNumberFormat="1" applyFont="1" applyFill="1" applyAlignment="1">
      <alignment horizontal="center" vertical="center"/>
    </xf>
    <xf numFmtId="177" fontId="21" fillId="30" borderId="10" xfId="0" applyNumberFormat="1" applyFont="1" applyFill="1" applyBorder="1" applyAlignment="1">
      <alignment horizontal="center" vertical="center"/>
    </xf>
    <xf numFmtId="177" fontId="22" fillId="32" borderId="0" xfId="0" applyNumberFormat="1" applyFont="1" applyFill="1" applyBorder="1" applyAlignment="1">
      <alignment horizontal="center" vertical="center"/>
    </xf>
    <xf numFmtId="177" fontId="21" fillId="29" borderId="0" xfId="0" applyNumberFormat="1" applyFont="1" applyFill="1" applyBorder="1" applyAlignment="1">
      <alignment horizontal="center" vertical="center"/>
    </xf>
    <xf numFmtId="0" fontId="21" fillId="25" borderId="11" xfId="0" applyNumberFormat="1" applyFont="1" applyFill="1" applyBorder="1" applyAlignment="1">
      <alignment horizontal="center" vertical="center" wrapText="1"/>
    </xf>
    <xf numFmtId="0" fontId="22" fillId="25" borderId="13" xfId="0" applyNumberFormat="1" applyFont="1" applyFill="1" applyBorder="1" applyAlignment="1">
      <alignment horizontal="center" vertical="center" wrapText="1"/>
    </xf>
    <xf numFmtId="0" fontId="21" fillId="26" borderId="13" xfId="0" applyNumberFormat="1" applyFont="1" applyFill="1" applyBorder="1" applyAlignment="1">
      <alignment horizontal="center" vertical="center" wrapText="1"/>
    </xf>
    <xf numFmtId="0" fontId="21" fillId="25" borderId="27" xfId="0" applyNumberFormat="1" applyFont="1" applyFill="1" applyBorder="1" applyAlignment="1">
      <alignment horizontal="center" vertical="center" wrapText="1"/>
    </xf>
    <xf numFmtId="0" fontId="21" fillId="25" borderId="13" xfId="0" applyNumberFormat="1" applyFont="1" applyFill="1" applyBorder="1" applyAlignment="1">
      <alignment horizontal="center" vertical="center" wrapText="1"/>
    </xf>
    <xf numFmtId="0" fontId="21" fillId="25" borderId="37" xfId="0" applyNumberFormat="1" applyFont="1" applyFill="1" applyBorder="1" applyAlignment="1">
      <alignment horizontal="center" vertical="center" wrapText="1"/>
    </xf>
    <xf numFmtId="0" fontId="22" fillId="25" borderId="22" xfId="0" applyNumberFormat="1" applyFont="1" applyFill="1" applyBorder="1" applyAlignment="1">
      <alignment horizontal="center" vertical="center"/>
    </xf>
    <xf numFmtId="0" fontId="22" fillId="25" borderId="0" xfId="0" applyNumberFormat="1" applyFont="1" applyFill="1" applyBorder="1" applyAlignment="1">
      <alignment horizontal="center" vertical="center"/>
    </xf>
    <xf numFmtId="177" fontId="27" fillId="25" borderId="10" xfId="0" applyNumberFormat="1" applyFont="1" applyFill="1" applyBorder="1" applyAlignment="1">
      <alignment horizontal="center" wrapText="1"/>
    </xf>
    <xf numFmtId="177" fontId="21" fillId="25" borderId="10" xfId="0" applyNumberFormat="1" applyFont="1" applyFill="1" applyBorder="1" applyAlignment="1">
      <alignment horizontal="center" wrapText="1"/>
    </xf>
    <xf numFmtId="177" fontId="21" fillId="25" borderId="10" xfId="4" applyNumberFormat="1" applyFont="1" applyFill="1" applyBorder="1" applyAlignment="1">
      <alignment horizontal="center" wrapText="1"/>
    </xf>
    <xf numFmtId="177" fontId="21" fillId="25" borderId="10" xfId="0" applyNumberFormat="1" applyFont="1" applyFill="1" applyBorder="1" applyAlignment="1">
      <alignment horizontal="center"/>
    </xf>
    <xf numFmtId="177" fontId="21" fillId="32" borderId="10" xfId="0" applyNumberFormat="1" applyFont="1" applyFill="1" applyBorder="1" applyAlignment="1">
      <alignment horizontal="center" wrapText="1"/>
    </xf>
    <xf numFmtId="177" fontId="21" fillId="25" borderId="10" xfId="4" applyNumberFormat="1" applyFont="1" applyFill="1" applyBorder="1" applyAlignment="1">
      <alignment horizontal="center"/>
    </xf>
    <xf numFmtId="177" fontId="21" fillId="25" borderId="41" xfId="0" applyNumberFormat="1" applyFont="1" applyFill="1" applyBorder="1" applyAlignment="1">
      <alignment horizontal="center" wrapText="1"/>
    </xf>
    <xf numFmtId="177" fontId="27" fillId="25" borderId="13" xfId="0" applyNumberFormat="1" applyFont="1" applyFill="1" applyBorder="1" applyAlignment="1">
      <alignment horizontal="center" wrapText="1"/>
    </xf>
    <xf numFmtId="177" fontId="27" fillId="25" borderId="13" xfId="0" applyNumberFormat="1" applyFont="1" applyFill="1" applyBorder="1" applyAlignment="1">
      <alignment horizontal="center"/>
    </xf>
    <xf numFmtId="177" fontId="27" fillId="32" borderId="13" xfId="0" applyNumberFormat="1" applyFont="1" applyFill="1" applyBorder="1" applyAlignment="1">
      <alignment horizontal="center" wrapText="1"/>
    </xf>
    <xf numFmtId="177" fontId="27" fillId="25" borderId="13" xfId="4" applyNumberFormat="1" applyFont="1" applyFill="1" applyBorder="1" applyAlignment="1">
      <alignment horizontal="center"/>
    </xf>
    <xf numFmtId="177" fontId="21" fillId="25" borderId="41" xfId="0" applyNumberFormat="1" applyFont="1" applyFill="1" applyBorder="1" applyAlignment="1">
      <alignment horizontal="center"/>
    </xf>
    <xf numFmtId="177" fontId="27" fillId="25" borderId="10" xfId="0" applyNumberFormat="1" applyFont="1" applyFill="1" applyBorder="1" applyAlignment="1">
      <alignment horizontal="center" vertical="center"/>
    </xf>
    <xf numFmtId="177" fontId="21" fillId="29" borderId="10" xfId="0" applyNumberFormat="1" applyFont="1" applyFill="1" applyBorder="1" applyAlignment="1">
      <alignment horizontal="center" vertical="center" wrapText="1"/>
    </xf>
    <xf numFmtId="167" fontId="21" fillId="25" borderId="41" xfId="4" applyFont="1" applyFill="1" applyBorder="1" applyAlignment="1">
      <alignment horizontal="center" vertical="center"/>
    </xf>
    <xf numFmtId="167" fontId="21" fillId="27" borderId="41" xfId="4" applyFont="1" applyFill="1" applyBorder="1" applyAlignment="1">
      <alignment horizontal="center" vertical="center" wrapText="1"/>
    </xf>
    <xf numFmtId="167" fontId="21" fillId="25" borderId="40" xfId="4" applyFont="1" applyFill="1" applyBorder="1" applyAlignment="1">
      <alignment horizontal="center" vertical="center" wrapText="1"/>
    </xf>
    <xf numFmtId="167" fontId="27" fillId="25" borderId="40" xfId="4" applyFont="1" applyFill="1" applyBorder="1" applyAlignment="1">
      <alignment horizontal="center" vertical="center" wrapText="1"/>
    </xf>
    <xf numFmtId="167" fontId="38" fillId="25" borderId="0" xfId="4" applyFont="1" applyFill="1" applyAlignment="1">
      <alignment horizontal="center" vertical="center"/>
    </xf>
    <xf numFmtId="167" fontId="27" fillId="25" borderId="40" xfId="4" applyFont="1" applyFill="1" applyBorder="1" applyAlignment="1">
      <alignment horizontal="center" vertical="center"/>
    </xf>
    <xf numFmtId="167" fontId="21" fillId="25" borderId="0" xfId="4" applyFont="1" applyFill="1" applyBorder="1" applyAlignment="1">
      <alignment horizontal="center" vertical="center"/>
    </xf>
    <xf numFmtId="167" fontId="27" fillId="25" borderId="13" xfId="4" applyFont="1" applyFill="1" applyBorder="1" applyAlignment="1">
      <alignment horizontal="center" wrapText="1"/>
    </xf>
    <xf numFmtId="167" fontId="27" fillId="25" borderId="11" xfId="4" applyFont="1" applyFill="1" applyBorder="1" applyAlignment="1">
      <alignment horizontal="center" vertical="center" wrapText="1"/>
    </xf>
    <xf numFmtId="167" fontId="27" fillId="26" borderId="29" xfId="4" applyFont="1" applyFill="1" applyBorder="1" applyAlignment="1">
      <alignment horizontal="center" vertical="center"/>
    </xf>
    <xf numFmtId="167" fontId="27" fillId="25" borderId="10" xfId="4" applyFont="1" applyFill="1" applyBorder="1" applyAlignment="1">
      <alignment horizontal="center"/>
    </xf>
    <xf numFmtId="167" fontId="27" fillId="25" borderId="41" xfId="4" applyFont="1" applyFill="1" applyBorder="1" applyAlignment="1">
      <alignment horizontal="center" wrapText="1"/>
    </xf>
    <xf numFmtId="167" fontId="27" fillId="26" borderId="36" xfId="4" applyFont="1" applyFill="1" applyBorder="1" applyAlignment="1">
      <alignment horizontal="center" vertical="center"/>
    </xf>
    <xf numFmtId="167" fontId="27" fillId="25" borderId="10" xfId="4" applyFont="1" applyFill="1" applyBorder="1" applyAlignment="1">
      <alignment horizontal="center" vertical="center" wrapText="1"/>
    </xf>
    <xf numFmtId="167" fontId="27" fillId="26" borderId="29" xfId="4" applyFont="1" applyFill="1" applyBorder="1" applyAlignment="1">
      <alignment horizontal="center" vertical="center" wrapText="1"/>
    </xf>
    <xf numFmtId="167" fontId="27" fillId="25" borderId="10" xfId="4" applyFont="1" applyFill="1" applyBorder="1" applyAlignment="1">
      <alignment horizontal="center" vertical="center"/>
    </xf>
    <xf numFmtId="167" fontId="27" fillId="26" borderId="13" xfId="4" applyFont="1" applyFill="1" applyBorder="1" applyAlignment="1">
      <alignment horizontal="center" vertical="center" wrapText="1"/>
    </xf>
    <xf numFmtId="167" fontId="27" fillId="25" borderId="0" xfId="4" applyFont="1" applyFill="1" applyBorder="1" applyAlignment="1">
      <alignment horizontal="center" vertical="center" wrapText="1"/>
    </xf>
    <xf numFmtId="167" fontId="27" fillId="25" borderId="0" xfId="4" applyFont="1" applyFill="1" applyBorder="1" applyAlignment="1">
      <alignment horizontal="center" vertical="center"/>
    </xf>
    <xf numFmtId="167" fontId="27" fillId="25" borderId="0" xfId="4" applyFont="1" applyFill="1" applyAlignment="1">
      <alignment horizontal="center" vertical="center"/>
    </xf>
    <xf numFmtId="167" fontId="27" fillId="28" borderId="13" xfId="4" applyFont="1" applyFill="1" applyBorder="1" applyAlignment="1">
      <alignment horizontal="center" vertical="center" wrapText="1"/>
    </xf>
    <xf numFmtId="167" fontId="21" fillId="25" borderId="10" xfId="4" applyFont="1" applyFill="1" applyBorder="1" applyAlignment="1">
      <alignment horizontal="center" wrapText="1"/>
    </xf>
    <xf numFmtId="167" fontId="21" fillId="26" borderId="36" xfId="4" applyFont="1" applyFill="1" applyBorder="1" applyAlignment="1">
      <alignment vertical="center"/>
    </xf>
    <xf numFmtId="167" fontId="27" fillId="25" borderId="13" xfId="4" applyFont="1" applyFill="1" applyBorder="1" applyAlignment="1">
      <alignment vertical="center"/>
    </xf>
    <xf numFmtId="0" fontId="29" fillId="25" borderId="40" xfId="0" applyNumberFormat="1" applyFont="1" applyFill="1" applyBorder="1" applyAlignment="1">
      <alignment horizontal="center" vertical="center"/>
    </xf>
    <xf numFmtId="167" fontId="29" fillId="25" borderId="40" xfId="4" applyFont="1" applyFill="1" applyBorder="1" applyAlignment="1">
      <alignment vertical="center" wrapText="1"/>
    </xf>
    <xf numFmtId="177" fontId="29" fillId="25" borderId="0" xfId="0" applyNumberFormat="1" applyFont="1" applyFill="1" applyBorder="1" applyAlignment="1">
      <alignment horizontal="center" vertical="center"/>
    </xf>
    <xf numFmtId="177" fontId="27" fillId="25" borderId="15" xfId="0" applyNumberFormat="1" applyFont="1" applyFill="1" applyBorder="1" applyAlignment="1">
      <alignment horizontal="center" vertical="center" wrapText="1"/>
    </xf>
    <xf numFmtId="177" fontId="29" fillId="25" borderId="13" xfId="2" applyNumberFormat="1" applyFont="1" applyFill="1" applyBorder="1" applyAlignment="1">
      <alignment horizontal="center" vertical="center" wrapText="1"/>
    </xf>
    <xf numFmtId="177" fontId="27" fillId="32" borderId="13" xfId="0" applyNumberFormat="1" applyFont="1" applyFill="1" applyBorder="1" applyAlignment="1">
      <alignment horizontal="center" vertical="center"/>
    </xf>
    <xf numFmtId="177" fontId="27" fillId="27" borderId="13" xfId="2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2" fillId="28" borderId="41" xfId="0" applyFont="1" applyFill="1" applyBorder="1" applyAlignment="1">
      <alignment horizontal="center" vertical="center" wrapText="1"/>
    </xf>
    <xf numFmtId="4" fontId="22" fillId="28" borderId="41" xfId="0" applyNumberFormat="1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22" fillId="0" borderId="41" xfId="0" applyFont="1" applyFill="1" applyBorder="1" applyAlignment="1">
      <alignment horizontal="center" vertical="center" wrapText="1"/>
    </xf>
    <xf numFmtId="4" fontId="22" fillId="0" borderId="41" xfId="0" applyNumberFormat="1" applyFont="1" applyFill="1" applyBorder="1" applyAlignment="1">
      <alignment horizontal="center" vertical="center" wrapText="1"/>
    </xf>
    <xf numFmtId="2" fontId="22" fillId="25" borderId="41" xfId="4" applyNumberFormat="1" applyFont="1" applyFill="1" applyBorder="1" applyAlignment="1">
      <alignment horizontal="center" vertical="center" wrapText="1"/>
    </xf>
    <xf numFmtId="173" fontId="22" fillId="0" borderId="0" xfId="0" applyNumberFormat="1" applyFont="1" applyAlignment="1">
      <alignment horizontal="center" vertical="center"/>
    </xf>
    <xf numFmtId="0" fontId="23" fillId="0" borderId="41" xfId="0" applyFont="1" applyFill="1" applyBorder="1" applyAlignment="1">
      <alignment horizontal="center" vertical="center" wrapText="1"/>
    </xf>
    <xf numFmtId="2" fontId="23" fillId="25" borderId="41" xfId="4" applyNumberFormat="1" applyFont="1" applyFill="1" applyBorder="1" applyAlignment="1">
      <alignment horizontal="center" vertical="center" wrapText="1"/>
    </xf>
    <xf numFmtId="4" fontId="23" fillId="0" borderId="41" xfId="0" applyNumberFormat="1" applyFont="1" applyFill="1" applyBorder="1" applyAlignment="1">
      <alignment horizontal="center" vertical="center" wrapText="1"/>
    </xf>
    <xf numFmtId="0" fontId="22" fillId="0" borderId="41" xfId="0" applyFont="1" applyBorder="1" applyAlignment="1">
      <alignment horizontal="center"/>
    </xf>
    <xf numFmtId="169" fontId="22" fillId="0" borderId="0" xfId="0" applyNumberFormat="1" applyFont="1" applyAlignment="1">
      <alignment horizontal="center"/>
    </xf>
    <xf numFmtId="0" fontId="21" fillId="0" borderId="0" xfId="0" applyFont="1" applyFill="1" applyAlignment="1">
      <alignment horizontal="center" vertical="center" wrapText="1"/>
    </xf>
    <xf numFmtId="167" fontId="22" fillId="28" borderId="41" xfId="4" applyFont="1" applyFill="1" applyBorder="1" applyAlignment="1">
      <alignment horizontal="center" vertical="center" wrapText="1"/>
    </xf>
    <xf numFmtId="2" fontId="22" fillId="0" borderId="41" xfId="4" applyNumberFormat="1" applyFont="1" applyFill="1" applyBorder="1" applyAlignment="1">
      <alignment horizontal="center" vertical="center" wrapText="1"/>
    </xf>
    <xf numFmtId="178" fontId="22" fillId="0" borderId="41" xfId="2" applyNumberFormat="1" applyFont="1" applyFill="1" applyBorder="1" applyAlignment="1">
      <alignment horizontal="center" vertical="center" wrapText="1"/>
    </xf>
    <xf numFmtId="178" fontId="22" fillId="0" borderId="41" xfId="2" applyNumberFormat="1" applyFont="1" applyBorder="1" applyAlignment="1">
      <alignment horizontal="center" vertical="center"/>
    </xf>
    <xf numFmtId="178" fontId="23" fillId="0" borderId="41" xfId="2" applyNumberFormat="1" applyFont="1" applyBorder="1" applyAlignment="1">
      <alignment horizontal="center" vertical="center"/>
    </xf>
    <xf numFmtId="2" fontId="22" fillId="30" borderId="41" xfId="4" applyNumberFormat="1" applyFont="1" applyFill="1" applyBorder="1" applyAlignment="1">
      <alignment horizontal="center" vertical="center" wrapText="1"/>
    </xf>
    <xf numFmtId="4" fontId="22" fillId="25" borderId="41" xfId="0" applyNumberFormat="1" applyFont="1" applyFill="1" applyBorder="1" applyAlignment="1">
      <alignment horizontal="center" vertical="center"/>
    </xf>
    <xf numFmtId="4" fontId="22" fillId="29" borderId="41" xfId="0" applyNumberFormat="1" applyFont="1" applyFill="1" applyBorder="1" applyAlignment="1">
      <alignment horizontal="center"/>
    </xf>
    <xf numFmtId="0" fontId="23" fillId="25" borderId="0" xfId="0" applyFont="1" applyFill="1" applyBorder="1" applyAlignment="1">
      <alignment horizontal="center" vertical="center" wrapText="1"/>
    </xf>
    <xf numFmtId="0" fontId="22" fillId="28" borderId="13" xfId="0" applyFont="1" applyFill="1" applyBorder="1" applyAlignment="1">
      <alignment horizontal="center" vertical="center" wrapText="1"/>
    </xf>
    <xf numFmtId="0" fontId="21" fillId="28" borderId="13" xfId="0" applyFont="1" applyFill="1" applyBorder="1" applyAlignment="1">
      <alignment horizontal="center" vertical="center" wrapText="1"/>
    </xf>
    <xf numFmtId="4" fontId="21" fillId="28" borderId="13" xfId="0" applyNumberFormat="1" applyFont="1" applyFill="1" applyBorder="1" applyAlignment="1">
      <alignment horizontal="center" vertical="center" wrapText="1"/>
    </xf>
    <xf numFmtId="4" fontId="22" fillId="28" borderId="13" xfId="0" applyNumberFormat="1" applyFont="1" applyFill="1" applyBorder="1" applyAlignment="1">
      <alignment horizontal="center" vertical="center" wrapText="1"/>
    </xf>
    <xf numFmtId="4" fontId="21" fillId="0" borderId="13" xfId="0" applyNumberFormat="1" applyFont="1" applyFill="1" applyBorder="1" applyAlignment="1">
      <alignment horizontal="center" vertical="center" wrapText="1"/>
    </xf>
    <xf numFmtId="4" fontId="21" fillId="25" borderId="13" xfId="0" applyNumberFormat="1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167" fontId="23" fillId="0" borderId="13" xfId="4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25" borderId="13" xfId="0" applyFont="1" applyFill="1" applyBorder="1" applyAlignment="1">
      <alignment horizontal="center" vertical="center"/>
    </xf>
    <xf numFmtId="4" fontId="21" fillId="30" borderId="13" xfId="0" applyNumberFormat="1" applyFont="1" applyFill="1" applyBorder="1" applyAlignment="1">
      <alignment horizontal="center" vertical="center"/>
    </xf>
    <xf numFmtId="4" fontId="22" fillId="25" borderId="13" xfId="0" applyNumberFormat="1" applyFont="1" applyFill="1" applyBorder="1" applyAlignment="1">
      <alignment horizontal="center" vertical="center"/>
    </xf>
    <xf numFmtId="4" fontId="22" fillId="29" borderId="13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44" fillId="0" borderId="0" xfId="0" applyFont="1" applyAlignment="1">
      <alignment vertical="center"/>
    </xf>
    <xf numFmtId="167" fontId="22" fillId="0" borderId="0" xfId="4" applyFont="1" applyAlignment="1">
      <alignment horizontal="center" vertical="center"/>
    </xf>
    <xf numFmtId="43" fontId="22" fillId="0" borderId="0" xfId="0" applyNumberFormat="1" applyFont="1" applyAlignment="1">
      <alignment horizontal="center" vertical="center"/>
    </xf>
    <xf numFmtId="167" fontId="22" fillId="25" borderId="41" xfId="4" applyFont="1" applyFill="1" applyBorder="1" applyAlignment="1">
      <alignment horizontal="center" vertical="center"/>
    </xf>
    <xf numFmtId="168" fontId="21" fillId="24" borderId="41" xfId="0" applyNumberFormat="1" applyFont="1" applyFill="1" applyBorder="1" applyAlignment="1">
      <alignment horizontal="center" vertical="center" wrapText="1"/>
    </xf>
    <xf numFmtId="168" fontId="27" fillId="24" borderId="10" xfId="0" applyNumberFormat="1" applyFont="1" applyFill="1" applyBorder="1" applyAlignment="1">
      <alignment horizontal="center" vertical="center" wrapText="1"/>
    </xf>
    <xf numFmtId="168" fontId="21" fillId="24" borderId="41" xfId="0" applyNumberFormat="1" applyFont="1" applyFill="1" applyBorder="1" applyAlignment="1">
      <alignment horizontal="center" vertical="center"/>
    </xf>
    <xf numFmtId="43" fontId="21" fillId="25" borderId="0" xfId="0" applyNumberFormat="1" applyFont="1" applyFill="1" applyBorder="1" applyAlignment="1">
      <alignment horizontal="center" vertical="center" wrapText="1"/>
    </xf>
    <xf numFmtId="168" fontId="21" fillId="24" borderId="0" xfId="0" applyNumberFormat="1" applyFont="1" applyFill="1" applyBorder="1" applyAlignment="1">
      <alignment horizontal="center" vertical="center"/>
    </xf>
    <xf numFmtId="177" fontId="21" fillId="25" borderId="10" xfId="0" applyNumberFormat="1" applyFont="1" applyFill="1" applyBorder="1" applyAlignment="1">
      <alignment horizontal="center" vertical="center" wrapText="1"/>
    </xf>
    <xf numFmtId="168" fontId="22" fillId="24" borderId="41" xfId="0" applyNumberFormat="1" applyFont="1" applyFill="1" applyBorder="1" applyAlignment="1">
      <alignment horizontal="center" vertical="center" wrapText="1"/>
    </xf>
    <xf numFmtId="168" fontId="22" fillId="24" borderId="41" xfId="0" applyNumberFormat="1" applyFont="1" applyFill="1" applyBorder="1" applyAlignment="1">
      <alignment horizontal="center" vertical="center"/>
    </xf>
    <xf numFmtId="167" fontId="22" fillId="24" borderId="41" xfId="4" applyFont="1" applyFill="1" applyBorder="1" applyAlignment="1">
      <alignment horizontal="center" vertical="center"/>
    </xf>
    <xf numFmtId="168" fontId="21" fillId="24" borderId="10" xfId="0" applyNumberFormat="1" applyFont="1" applyFill="1" applyBorder="1" applyAlignment="1">
      <alignment horizontal="center" vertical="center" wrapText="1"/>
    </xf>
    <xf numFmtId="168" fontId="21" fillId="24" borderId="40" xfId="0" applyNumberFormat="1" applyFont="1" applyFill="1" applyBorder="1" applyAlignment="1">
      <alignment horizontal="center" vertical="center"/>
    </xf>
    <xf numFmtId="167" fontId="21" fillId="24" borderId="41" xfId="4" applyFont="1" applyFill="1" applyBorder="1" applyAlignment="1">
      <alignment horizontal="center" vertical="center"/>
    </xf>
    <xf numFmtId="175" fontId="27" fillId="24" borderId="42" xfId="0" applyNumberFormat="1" applyFont="1" applyFill="1" applyBorder="1" applyAlignment="1">
      <alignment horizontal="center" vertical="center" wrapText="1"/>
    </xf>
    <xf numFmtId="0" fontId="33" fillId="25" borderId="0" xfId="0" applyFont="1" applyFill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168" fontId="26" fillId="25" borderId="10" xfId="0" applyNumberFormat="1" applyFont="1" applyFill="1" applyBorder="1" applyAlignment="1">
      <alignment horizontal="center" vertical="center" wrapText="1"/>
    </xf>
    <xf numFmtId="168" fontId="26" fillId="25" borderId="41" xfId="0" applyNumberFormat="1" applyFont="1" applyFill="1" applyBorder="1" applyAlignment="1">
      <alignment horizontal="center" vertical="center"/>
    </xf>
    <xf numFmtId="168" fontId="21" fillId="25" borderId="43" xfId="0" applyNumberFormat="1" applyFont="1" applyFill="1" applyBorder="1" applyAlignment="1">
      <alignment horizontal="center" vertical="center" wrapText="1"/>
    </xf>
    <xf numFmtId="168" fontId="27" fillId="25" borderId="43" xfId="0" applyNumberFormat="1" applyFont="1" applyFill="1" applyBorder="1" applyAlignment="1">
      <alignment horizontal="center" vertical="center" wrapText="1"/>
    </xf>
    <xf numFmtId="168" fontId="36" fillId="27" borderId="41" xfId="0" applyNumberFormat="1" applyFont="1" applyFill="1" applyBorder="1" applyAlignment="1">
      <alignment horizontal="center" wrapText="1"/>
    </xf>
    <xf numFmtId="171" fontId="21" fillId="25" borderId="10" xfId="2" applyNumberFormat="1" applyFont="1" applyFill="1" applyBorder="1" applyAlignment="1">
      <alignment horizontal="center" wrapText="1"/>
    </xf>
    <xf numFmtId="168" fontId="21" fillId="25" borderId="41" xfId="0" applyNumberFormat="1" applyFont="1" applyFill="1" applyBorder="1" applyAlignment="1">
      <alignment horizontal="center"/>
    </xf>
    <xf numFmtId="179" fontId="22" fillId="25" borderId="0" xfId="0" applyNumberFormat="1" applyFont="1" applyFill="1" applyBorder="1" applyAlignment="1">
      <alignment horizontal="center" vertical="center" wrapText="1"/>
    </xf>
    <xf numFmtId="177" fontId="22" fillId="25" borderId="4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 wrapText="1"/>
    </xf>
    <xf numFmtId="177" fontId="21" fillId="32" borderId="43" xfId="0" applyNumberFormat="1" applyFont="1" applyFill="1" applyBorder="1" applyAlignment="1">
      <alignment horizontal="center" vertical="center" wrapText="1"/>
    </xf>
    <xf numFmtId="0" fontId="46" fillId="0" borderId="43" xfId="0" applyFont="1" applyBorder="1" applyAlignment="1">
      <alignment horizontal="center" vertical="center" wrapText="1"/>
    </xf>
    <xf numFmtId="177" fontId="27" fillId="25" borderId="17" xfId="0" applyNumberFormat="1" applyFont="1" applyFill="1" applyBorder="1" applyAlignment="1">
      <alignment horizontal="center" vertical="center" wrapText="1"/>
    </xf>
    <xf numFmtId="168" fontId="21" fillId="25" borderId="44" xfId="0" applyNumberFormat="1" applyFont="1" applyFill="1" applyBorder="1" applyAlignment="1">
      <alignment horizontal="center" vertical="center" wrapText="1"/>
    </xf>
    <xf numFmtId="168" fontId="27" fillId="25" borderId="22" xfId="0" applyNumberFormat="1" applyFont="1" applyFill="1" applyBorder="1" applyAlignment="1">
      <alignment horizontal="center" vertical="center" wrapText="1"/>
    </xf>
    <xf numFmtId="168" fontId="22" fillId="25" borderId="44" xfId="0" applyNumberFormat="1" applyFont="1" applyFill="1" applyBorder="1" applyAlignment="1">
      <alignment horizontal="center" vertical="center" wrapText="1"/>
    </xf>
    <xf numFmtId="168" fontId="21" fillId="25" borderId="44" xfId="0" applyNumberFormat="1" applyFont="1" applyFill="1" applyBorder="1" applyAlignment="1">
      <alignment horizontal="center" vertical="center"/>
    </xf>
    <xf numFmtId="168" fontId="22" fillId="25" borderId="44" xfId="0" applyNumberFormat="1" applyFont="1" applyFill="1" applyBorder="1" applyAlignment="1">
      <alignment horizontal="center" vertical="center"/>
    </xf>
    <xf numFmtId="167" fontId="22" fillId="25" borderId="44" xfId="4" applyFont="1" applyFill="1" applyBorder="1" applyAlignment="1">
      <alignment horizontal="center" vertical="center"/>
    </xf>
    <xf numFmtId="174" fontId="27" fillId="25" borderId="44" xfId="0" applyNumberFormat="1" applyFont="1" applyFill="1" applyBorder="1" applyAlignment="1">
      <alignment horizontal="center" vertical="center" wrapText="1"/>
    </xf>
    <xf numFmtId="168" fontId="26" fillId="25" borderId="10" xfId="0" applyNumberFormat="1" applyFont="1" applyFill="1" applyBorder="1" applyAlignment="1">
      <alignment horizontal="center" vertical="center"/>
    </xf>
    <xf numFmtId="167" fontId="26" fillId="25" borderId="10" xfId="4" applyFont="1" applyFill="1" applyBorder="1" applyAlignment="1">
      <alignment horizontal="center" vertical="center"/>
    </xf>
    <xf numFmtId="171" fontId="21" fillId="25" borderId="41" xfId="2" applyNumberFormat="1" applyFont="1" applyFill="1" applyBorder="1" applyAlignment="1">
      <alignment horizontal="center" wrapText="1"/>
    </xf>
    <xf numFmtId="0" fontId="46" fillId="0" borderId="41" xfId="0" applyFont="1" applyBorder="1" applyAlignment="1">
      <alignment horizontal="center" vertical="center" wrapText="1"/>
    </xf>
    <xf numFmtId="0" fontId="47" fillId="0" borderId="0" xfId="0" applyFont="1"/>
    <xf numFmtId="180" fontId="27" fillId="25" borderId="41" xfId="0" applyNumberFormat="1" applyFont="1" applyFill="1" applyBorder="1" applyAlignment="1">
      <alignment horizontal="center" vertical="center" wrapText="1"/>
    </xf>
    <xf numFmtId="177" fontId="21" fillId="25" borderId="0" xfId="0" applyNumberFormat="1" applyFont="1" applyFill="1" applyBorder="1" applyAlignment="1">
      <alignment horizontal="center" vertical="center" wrapText="1"/>
    </xf>
    <xf numFmtId="177" fontId="21" fillId="25" borderId="10" xfId="0" applyNumberFormat="1" applyFont="1" applyFill="1" applyBorder="1" applyAlignment="1">
      <alignment horizontal="center" vertical="center" wrapText="1"/>
    </xf>
    <xf numFmtId="180" fontId="22" fillId="25" borderId="0" xfId="0" applyNumberFormat="1" applyFont="1" applyFill="1" applyBorder="1" applyAlignment="1">
      <alignment horizontal="center" vertical="center" wrapText="1"/>
    </xf>
    <xf numFmtId="177" fontId="26" fillId="25" borderId="15" xfId="0" applyNumberFormat="1" applyFont="1" applyFill="1" applyBorder="1" applyAlignment="1">
      <alignment horizontal="center" vertical="center" wrapText="1"/>
    </xf>
    <xf numFmtId="167" fontId="23" fillId="25" borderId="41" xfId="4" applyFont="1" applyFill="1" applyBorder="1" applyAlignment="1">
      <alignment horizontal="center" vertical="center" wrapText="1"/>
    </xf>
    <xf numFmtId="177" fontId="26" fillId="32" borderId="10" xfId="0" applyNumberFormat="1" applyFont="1" applyFill="1" applyBorder="1" applyAlignment="1">
      <alignment horizontal="center" vertical="center" wrapText="1"/>
    </xf>
    <xf numFmtId="177" fontId="23" fillId="31" borderId="41" xfId="0" applyNumberFormat="1" applyFont="1" applyFill="1" applyBorder="1" applyAlignment="1">
      <alignment horizontal="center" vertical="center" wrapText="1"/>
    </xf>
    <xf numFmtId="177" fontId="23" fillId="25" borderId="41" xfId="0" quotePrefix="1" applyNumberFormat="1" applyFont="1" applyFill="1" applyBorder="1" applyAlignment="1">
      <alignment horizontal="center" vertical="center" wrapText="1"/>
    </xf>
    <xf numFmtId="167" fontId="26" fillId="25" borderId="41" xfId="4" applyFont="1" applyFill="1" applyBorder="1" applyAlignment="1">
      <alignment horizontal="center" vertical="center" wrapText="1"/>
    </xf>
    <xf numFmtId="0" fontId="22" fillId="0" borderId="41" xfId="0" applyFont="1" applyBorder="1" applyAlignment="1"/>
    <xf numFmtId="167" fontId="22" fillId="0" borderId="41" xfId="4" applyFont="1" applyBorder="1" applyAlignment="1"/>
    <xf numFmtId="167" fontId="23" fillId="0" borderId="41" xfId="4" applyFont="1" applyBorder="1" applyAlignment="1"/>
    <xf numFmtId="0" fontId="22" fillId="0" borderId="41" xfId="0" applyFont="1" applyBorder="1" applyAlignment="1">
      <alignment wrapText="1"/>
    </xf>
    <xf numFmtId="167" fontId="23" fillId="25" borderId="10" xfId="4" applyFont="1" applyFill="1" applyBorder="1" applyAlignment="1">
      <alignment vertical="center" wrapText="1"/>
    </xf>
    <xf numFmtId="177" fontId="26" fillId="32" borderId="13" xfId="0" applyNumberFormat="1" applyFont="1" applyFill="1" applyBorder="1" applyAlignment="1">
      <alignment horizontal="center" vertical="center"/>
    </xf>
    <xf numFmtId="177" fontId="26" fillId="32" borderId="10" xfId="4" applyNumberFormat="1" applyFont="1" applyFill="1" applyBorder="1" applyAlignment="1">
      <alignment horizontal="center" vertical="center" wrapText="1"/>
    </xf>
    <xf numFmtId="177" fontId="26" fillId="32" borderId="41" xfId="0" applyNumberFormat="1" applyFont="1" applyFill="1" applyBorder="1" applyAlignment="1">
      <alignment horizontal="center" vertical="center" wrapText="1"/>
    </xf>
    <xf numFmtId="177" fontId="26" fillId="32" borderId="13" xfId="0" applyNumberFormat="1" applyFont="1" applyFill="1" applyBorder="1" applyAlignment="1">
      <alignment horizontal="center" vertical="center" wrapText="1"/>
    </xf>
    <xf numFmtId="177" fontId="26" fillId="25" borderId="10" xfId="0" applyNumberFormat="1" applyFont="1" applyFill="1" applyBorder="1" applyAlignment="1">
      <alignment horizontal="center" vertical="center"/>
    </xf>
    <xf numFmtId="167" fontId="26" fillId="25" borderId="10" xfId="4" applyFont="1" applyFill="1" applyBorder="1" applyAlignment="1">
      <alignment vertical="center" wrapText="1"/>
    </xf>
    <xf numFmtId="0" fontId="21" fillId="25" borderId="11" xfId="0" applyNumberFormat="1" applyFont="1" applyFill="1" applyBorder="1" applyAlignment="1">
      <alignment horizontal="center" vertical="center"/>
    </xf>
    <xf numFmtId="168" fontId="21" fillId="29" borderId="10" xfId="0" applyNumberFormat="1" applyFont="1" applyFill="1" applyBorder="1" applyAlignment="1">
      <alignment horizontal="center" vertical="center" wrapText="1"/>
    </xf>
    <xf numFmtId="177" fontId="21" fillId="25" borderId="24" xfId="0" applyNumberFormat="1" applyFont="1" applyFill="1" applyBorder="1" applyAlignment="1">
      <alignment horizontal="center" vertical="center"/>
    </xf>
    <xf numFmtId="177" fontId="21" fillId="25" borderId="20" xfId="0" applyNumberFormat="1" applyFont="1" applyFill="1" applyBorder="1" applyAlignment="1">
      <alignment horizontal="center" vertical="center"/>
    </xf>
    <xf numFmtId="177" fontId="21" fillId="25" borderId="24" xfId="0" applyNumberFormat="1" applyFont="1" applyFill="1" applyBorder="1" applyAlignment="1">
      <alignment horizontal="center" vertical="center" wrapText="1"/>
    </xf>
    <xf numFmtId="177" fontId="21" fillId="25" borderId="20" xfId="0" applyNumberFormat="1" applyFont="1" applyFill="1" applyBorder="1" applyAlignment="1">
      <alignment horizontal="center" vertical="center" wrapText="1"/>
    </xf>
    <xf numFmtId="177" fontId="21" fillId="25" borderId="23" xfId="0" applyNumberFormat="1" applyFont="1" applyFill="1" applyBorder="1" applyAlignment="1">
      <alignment horizontal="center" vertical="center" wrapText="1"/>
    </xf>
    <xf numFmtId="177" fontId="21" fillId="25" borderId="0" xfId="0" applyNumberFormat="1" applyFont="1" applyFill="1" applyBorder="1" applyAlignment="1">
      <alignment horizontal="center" vertical="center" wrapText="1"/>
    </xf>
    <xf numFmtId="177" fontId="21" fillId="25" borderId="21" xfId="0" applyNumberFormat="1" applyFont="1" applyFill="1" applyBorder="1" applyAlignment="1">
      <alignment horizontal="center" vertical="center" wrapText="1"/>
    </xf>
    <xf numFmtId="177" fontId="21" fillId="25" borderId="11" xfId="0" applyNumberFormat="1" applyFont="1" applyFill="1" applyBorder="1" applyAlignment="1">
      <alignment horizontal="left" vertical="center" wrapText="1"/>
    </xf>
    <xf numFmtId="177" fontId="27" fillId="32" borderId="36" xfId="0" applyNumberFormat="1" applyFont="1" applyFill="1" applyBorder="1" applyAlignment="1">
      <alignment horizontal="center" vertical="center" wrapText="1"/>
    </xf>
    <xf numFmtId="177" fontId="27" fillId="32" borderId="10" xfId="0" applyNumberFormat="1" applyFont="1" applyFill="1" applyBorder="1" applyAlignment="1">
      <alignment horizontal="center" vertical="center" wrapText="1"/>
    </xf>
    <xf numFmtId="0" fontId="22" fillId="25" borderId="36" xfId="0" applyNumberFormat="1" applyFont="1" applyFill="1" applyBorder="1" applyAlignment="1">
      <alignment horizontal="center" vertical="center" wrapText="1"/>
    </xf>
    <xf numFmtId="0" fontId="22" fillId="25" borderId="10" xfId="0" applyNumberFormat="1" applyFont="1" applyFill="1" applyBorder="1" applyAlignment="1">
      <alignment horizontal="center" vertical="center" wrapText="1"/>
    </xf>
    <xf numFmtId="177" fontId="21" fillId="25" borderId="18" xfId="0" applyNumberFormat="1" applyFont="1" applyFill="1" applyBorder="1" applyAlignment="1">
      <alignment horizontal="left" vertical="center" wrapText="1"/>
    </xf>
    <xf numFmtId="177" fontId="21" fillId="25" borderId="0" xfId="0" applyNumberFormat="1" applyFont="1" applyFill="1" applyBorder="1" applyAlignment="1">
      <alignment horizontal="left" vertical="center" wrapText="1"/>
    </xf>
    <xf numFmtId="177" fontId="21" fillId="25" borderId="19" xfId="0" applyNumberFormat="1" applyFont="1" applyFill="1" applyBorder="1" applyAlignment="1">
      <alignment horizontal="left" vertical="center" wrapText="1"/>
    </xf>
    <xf numFmtId="177" fontId="21" fillId="25" borderId="22" xfId="0" applyNumberFormat="1" applyFont="1" applyFill="1" applyBorder="1" applyAlignment="1">
      <alignment horizontal="left" vertical="center" wrapText="1"/>
    </xf>
    <xf numFmtId="177" fontId="21" fillId="25" borderId="36" xfId="0" applyNumberFormat="1" applyFont="1" applyFill="1" applyBorder="1" applyAlignment="1">
      <alignment horizontal="center" vertical="center" wrapText="1"/>
    </xf>
    <xf numFmtId="177" fontId="21" fillId="25" borderId="10" xfId="0" applyNumberFormat="1" applyFont="1" applyFill="1" applyBorder="1" applyAlignment="1">
      <alignment horizontal="center" vertical="center" wrapText="1"/>
    </xf>
    <xf numFmtId="0" fontId="26" fillId="25" borderId="34" xfId="0" applyFont="1" applyFill="1" applyBorder="1" applyAlignment="1">
      <alignment horizontal="center" vertical="center"/>
    </xf>
    <xf numFmtId="0" fontId="26" fillId="25" borderId="15" xfId="0" applyFont="1" applyFill="1" applyBorder="1" applyAlignment="1">
      <alignment horizontal="center" vertical="center"/>
    </xf>
    <xf numFmtId="168" fontId="21" fillId="0" borderId="41" xfId="0" applyNumberFormat="1" applyFont="1" applyBorder="1" applyAlignment="1">
      <alignment horizontal="center" vertical="center"/>
    </xf>
    <xf numFmtId="168" fontId="27" fillId="0" borderId="41" xfId="0" applyNumberFormat="1" applyFont="1" applyBorder="1" applyAlignment="1">
      <alignment horizontal="center" vertical="center"/>
    </xf>
    <xf numFmtId="0" fontId="33" fillId="0" borderId="42" xfId="0" applyFont="1" applyBorder="1" applyAlignment="1">
      <alignment horizontal="center" vertical="center" wrapText="1"/>
    </xf>
    <xf numFmtId="168" fontId="21" fillId="26" borderId="42" xfId="0" applyNumberFormat="1" applyFont="1" applyFill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/>
    </xf>
    <xf numFmtId="167" fontId="23" fillId="0" borderId="41" xfId="4" applyFont="1" applyBorder="1" applyAlignment="1">
      <alignment horizontal="center" vertical="center"/>
    </xf>
    <xf numFmtId="0" fontId="23" fillId="0" borderId="41" xfId="0" applyFont="1" applyBorder="1" applyAlignment="1">
      <alignment horizontal="center"/>
    </xf>
    <xf numFmtId="0" fontId="21" fillId="27" borderId="41" xfId="0" applyFont="1" applyFill="1" applyBorder="1" applyAlignment="1">
      <alignment horizontal="center" vertical="center" wrapText="1"/>
    </xf>
    <xf numFmtId="168" fontId="21" fillId="27" borderId="41" xfId="0" applyNumberFormat="1" applyFont="1" applyFill="1" applyBorder="1" applyAlignment="1">
      <alignment horizontal="center" vertical="center"/>
    </xf>
    <xf numFmtId="0" fontId="22" fillId="0" borderId="41" xfId="0" applyFont="1" applyBorder="1" applyAlignment="1">
      <alignment vertical="center"/>
    </xf>
    <xf numFmtId="0" fontId="33" fillId="0" borderId="41" xfId="0" applyFont="1" applyBorder="1" applyAlignment="1">
      <alignment horizontal="center" vertical="center"/>
    </xf>
    <xf numFmtId="0" fontId="33" fillId="0" borderId="41" xfId="0" applyFont="1" applyBorder="1" applyAlignment="1">
      <alignment horizontal="center" vertical="center" wrapText="1"/>
    </xf>
    <xf numFmtId="0" fontId="33" fillId="0" borderId="41" xfId="0" applyFont="1" applyFill="1" applyBorder="1" applyAlignment="1">
      <alignment horizontal="center" vertical="center"/>
    </xf>
    <xf numFmtId="168" fontId="21" fillId="26" borderId="41" xfId="0" applyNumberFormat="1" applyFont="1" applyFill="1" applyBorder="1" applyAlignment="1">
      <alignment horizontal="center" vertical="center" wrapText="1"/>
    </xf>
    <xf numFmtId="168" fontId="27" fillId="27" borderId="41" xfId="0" applyNumberFormat="1" applyFont="1" applyFill="1" applyBorder="1" applyAlignment="1">
      <alignment horizontal="center" vertical="center"/>
    </xf>
    <xf numFmtId="0" fontId="22" fillId="25" borderId="41" xfId="0" applyFont="1" applyFill="1" applyBorder="1"/>
    <xf numFmtId="0" fontId="21" fillId="0" borderId="41" xfId="0" applyFont="1" applyBorder="1" applyAlignment="1">
      <alignment horizontal="center" vertical="center"/>
    </xf>
    <xf numFmtId="167" fontId="21" fillId="27" borderId="41" xfId="4" applyFont="1" applyFill="1" applyBorder="1" applyAlignment="1">
      <alignment horizontal="center" vertical="center"/>
    </xf>
    <xf numFmtId="2" fontId="21" fillId="0" borderId="41" xfId="0" applyNumberFormat="1" applyFont="1" applyBorder="1" applyAlignment="1">
      <alignment horizontal="center" vertical="center"/>
    </xf>
    <xf numFmtId="0" fontId="22" fillId="25" borderId="41" xfId="0" applyFont="1" applyFill="1" applyBorder="1" applyAlignment="1">
      <alignment horizontal="center" vertical="center"/>
    </xf>
    <xf numFmtId="168" fontId="21" fillId="24" borderId="41" xfId="0" applyNumberFormat="1" applyFont="1" applyFill="1" applyBorder="1" applyAlignment="1">
      <alignment horizontal="center"/>
    </xf>
    <xf numFmtId="168" fontId="22" fillId="25" borderId="41" xfId="0" applyNumberFormat="1" applyFont="1" applyFill="1" applyBorder="1" applyAlignment="1">
      <alignment horizontal="center"/>
    </xf>
    <xf numFmtId="168" fontId="22" fillId="25" borderId="41" xfId="0" applyNumberFormat="1" applyFont="1" applyFill="1" applyBorder="1"/>
    <xf numFmtId="4" fontId="21" fillId="27" borderId="41" xfId="0" applyNumberFormat="1" applyFont="1" applyFill="1" applyBorder="1" applyAlignment="1">
      <alignment horizontal="center" vertical="center"/>
    </xf>
    <xf numFmtId="0" fontId="33" fillId="34" borderId="42" xfId="0" applyFont="1" applyFill="1" applyBorder="1" applyAlignment="1">
      <alignment horizontal="center" vertical="center"/>
    </xf>
    <xf numFmtId="0" fontId="33" fillId="34" borderId="41" xfId="0" applyFont="1" applyFill="1" applyBorder="1" applyAlignment="1">
      <alignment horizontal="center" vertical="center"/>
    </xf>
    <xf numFmtId="0" fontId="33" fillId="34" borderId="41" xfId="0" applyFont="1" applyFill="1" applyBorder="1" applyAlignment="1">
      <alignment horizontal="center" vertical="center" wrapText="1"/>
    </xf>
    <xf numFmtId="168" fontId="21" fillId="26" borderId="41" xfId="0" applyNumberFormat="1" applyFont="1" applyFill="1" applyBorder="1" applyAlignment="1">
      <alignment horizontal="left" vertical="center" wrapText="1"/>
    </xf>
    <xf numFmtId="168" fontId="21" fillId="35" borderId="42" xfId="0" applyNumberFormat="1" applyFont="1" applyFill="1" applyBorder="1" applyAlignment="1">
      <alignment horizontal="center" vertical="center" wrapText="1"/>
    </xf>
    <xf numFmtId="168" fontId="21" fillId="35" borderId="34" xfId="0" applyNumberFormat="1" applyFont="1" applyFill="1" applyBorder="1" applyAlignment="1">
      <alignment horizontal="center" vertical="center" wrapText="1"/>
    </xf>
    <xf numFmtId="168" fontId="21" fillId="35" borderId="15" xfId="0" applyNumberFormat="1" applyFont="1" applyFill="1" applyBorder="1" applyAlignment="1">
      <alignment horizontal="center" vertical="center" wrapText="1"/>
    </xf>
    <xf numFmtId="169" fontId="33" fillId="34" borderId="41" xfId="4" applyNumberFormat="1" applyFont="1" applyFill="1" applyBorder="1" applyAlignment="1">
      <alignment horizontal="center" vertical="center"/>
    </xf>
    <xf numFmtId="168" fontId="21" fillId="24" borderId="12" xfId="0" applyNumberFormat="1" applyFont="1" applyFill="1" applyBorder="1" applyAlignment="1">
      <alignment horizontal="left" vertical="center"/>
    </xf>
    <xf numFmtId="168" fontId="21" fillId="24" borderId="45" xfId="0" applyNumberFormat="1" applyFont="1" applyFill="1" applyBorder="1" applyAlignment="1">
      <alignment horizontal="left" vertical="center"/>
    </xf>
    <xf numFmtId="168" fontId="21" fillId="24" borderId="16" xfId="0" applyNumberFormat="1" applyFont="1" applyFill="1" applyBorder="1" applyAlignment="1">
      <alignment horizontal="left" vertical="center"/>
    </xf>
  </cellXfs>
  <cellStyles count="137">
    <cellStyle name="20% - Accent1 2" xfId="6"/>
    <cellStyle name="20% - Accent1 3" xfId="7"/>
    <cellStyle name="20% - Accent1 4" xfId="8"/>
    <cellStyle name="20% - Accent2 2" xfId="9"/>
    <cellStyle name="20% - Accent2 3" xfId="10"/>
    <cellStyle name="20% - Accent2 4" xfId="11"/>
    <cellStyle name="20% - Accent3 2" xfId="12"/>
    <cellStyle name="20% - Accent3 3" xfId="13"/>
    <cellStyle name="20% - Accent3 4" xfId="14"/>
    <cellStyle name="20% - Accent4 2" xfId="15"/>
    <cellStyle name="20% - Accent4 3" xfId="16"/>
    <cellStyle name="20% - Accent4 4" xfId="17"/>
    <cellStyle name="20% - Accent5 2" xfId="18"/>
    <cellStyle name="20% - Accent5 3" xfId="19"/>
    <cellStyle name="20% - Accent5 4" xfId="20"/>
    <cellStyle name="20% - Accent6 2" xfId="21"/>
    <cellStyle name="20% - Accent6 3" xfId="22"/>
    <cellStyle name="20% - Accent6 4" xfId="23"/>
    <cellStyle name="40% - Accent1 2" xfId="24"/>
    <cellStyle name="40% - Accent1 3" xfId="25"/>
    <cellStyle name="40% - Accent1 4" xfId="26"/>
    <cellStyle name="40% - Accent2 2" xfId="27"/>
    <cellStyle name="40% - Accent2 3" xfId="28"/>
    <cellStyle name="40% - Accent2 4" xfId="29"/>
    <cellStyle name="40% - Accent3 2" xfId="30"/>
    <cellStyle name="40% - Accent3 3" xfId="31"/>
    <cellStyle name="40% - Accent3 4" xfId="32"/>
    <cellStyle name="40% - Accent4 2" xfId="33"/>
    <cellStyle name="40% - Accent4 3" xfId="34"/>
    <cellStyle name="40% - Accent4 4" xfId="35"/>
    <cellStyle name="40% - Accent5 2" xfId="36"/>
    <cellStyle name="40% - Accent5 3" xfId="37"/>
    <cellStyle name="40% - Accent5 4" xfId="38"/>
    <cellStyle name="40% - Accent6 2" xfId="39"/>
    <cellStyle name="40% - Accent6 3" xfId="40"/>
    <cellStyle name="40% - Accent6 4" xfId="41"/>
    <cellStyle name="60% - Accent1 2" xfId="42"/>
    <cellStyle name="60% - Accent1 3" xfId="43"/>
    <cellStyle name="60% - Accent1 4" xfId="44"/>
    <cellStyle name="60% - Accent2 2" xfId="45"/>
    <cellStyle name="60% - Accent2 3" xfId="46"/>
    <cellStyle name="60% - Accent2 4" xfId="47"/>
    <cellStyle name="60% - Accent3 2" xfId="48"/>
    <cellStyle name="60% - Accent3 3" xfId="49"/>
    <cellStyle name="60% - Accent3 4" xfId="50"/>
    <cellStyle name="60% - Accent4 2" xfId="51"/>
    <cellStyle name="60% - Accent4 3" xfId="52"/>
    <cellStyle name="60% - Accent4 4" xfId="53"/>
    <cellStyle name="60% - Accent5 2" xfId="54"/>
    <cellStyle name="60% - Accent5 3" xfId="55"/>
    <cellStyle name="60% - Accent5 4" xfId="56"/>
    <cellStyle name="60% - Accent6 2" xfId="57"/>
    <cellStyle name="60% - Accent6 3" xfId="58"/>
    <cellStyle name="60% - Accent6 4" xfId="59"/>
    <cellStyle name="Accent1 2" xfId="60"/>
    <cellStyle name="Accent1 3" xfId="61"/>
    <cellStyle name="Accent1 4" xfId="62"/>
    <cellStyle name="Accent2 2" xfId="63"/>
    <cellStyle name="Accent2 3" xfId="64"/>
    <cellStyle name="Accent2 4" xfId="65"/>
    <cellStyle name="Accent3 2" xfId="66"/>
    <cellStyle name="Accent3 3" xfId="67"/>
    <cellStyle name="Accent3 4" xfId="68"/>
    <cellStyle name="Accent4 2" xfId="69"/>
    <cellStyle name="Accent4 3" xfId="70"/>
    <cellStyle name="Accent4 4" xfId="71"/>
    <cellStyle name="Accent5 2" xfId="72"/>
    <cellStyle name="Accent5 3" xfId="73"/>
    <cellStyle name="Accent5 4" xfId="74"/>
    <cellStyle name="Accent6 2" xfId="75"/>
    <cellStyle name="Accent6 3" xfId="76"/>
    <cellStyle name="Accent6 4" xfId="77"/>
    <cellStyle name="Bad 2" xfId="78"/>
    <cellStyle name="Bad 3" xfId="79"/>
    <cellStyle name="Bad 4" xfId="80"/>
    <cellStyle name="Calculation 2" xfId="81"/>
    <cellStyle name="Calculation 3" xfId="82"/>
    <cellStyle name="Calculation 4" xfId="83"/>
    <cellStyle name="Check Cell 2" xfId="84"/>
    <cellStyle name="Check Cell 3" xfId="85"/>
    <cellStyle name="Check Cell 4" xfId="86"/>
    <cellStyle name="Comma" xfId="4"/>
    <cellStyle name="Comma [0]" xfId="5"/>
    <cellStyle name="Comma 2" xfId="136"/>
    <cellStyle name="Currency" xfId="2"/>
    <cellStyle name="Currency [0]" xfId="3"/>
    <cellStyle name="Explanatory Text 2" xfId="87"/>
    <cellStyle name="Explanatory Text 3" xfId="88"/>
    <cellStyle name="Explanatory Text 4" xfId="89"/>
    <cellStyle name="Good 2" xfId="90"/>
    <cellStyle name="Good 3" xfId="91"/>
    <cellStyle name="Good 4" xfId="92"/>
    <cellStyle name="Heading 1 2" xfId="93"/>
    <cellStyle name="Heading 1 3" xfId="94"/>
    <cellStyle name="Heading 1 4" xfId="95"/>
    <cellStyle name="Heading 2 2" xfId="96"/>
    <cellStyle name="Heading 2 3" xfId="97"/>
    <cellStyle name="Heading 2 4" xfId="98"/>
    <cellStyle name="Heading 3 2" xfId="99"/>
    <cellStyle name="Heading 3 3" xfId="100"/>
    <cellStyle name="Heading 3 4" xfId="101"/>
    <cellStyle name="Heading 4 2" xfId="102"/>
    <cellStyle name="Heading 4 3" xfId="103"/>
    <cellStyle name="Heading 4 4" xfId="104"/>
    <cellStyle name="Hyperlink" xfId="135" builtinId="8"/>
    <cellStyle name="Input 2" xfId="105"/>
    <cellStyle name="Input 3" xfId="106"/>
    <cellStyle name="Input 4" xfId="107"/>
    <cellStyle name="Linked Cell 2" xfId="108"/>
    <cellStyle name="Linked Cell 3" xfId="109"/>
    <cellStyle name="Linked Cell 4" xfId="110"/>
    <cellStyle name="Neutral 2" xfId="111"/>
    <cellStyle name="Neutral 3" xfId="112"/>
    <cellStyle name="Neutral 4" xfId="113"/>
    <cellStyle name="Normal" xfId="0" builtinId="0"/>
    <cellStyle name="Normal 2" xfId="134"/>
    <cellStyle name="Normal 2 2" xfId="114"/>
    <cellStyle name="Normal 2 3" xfId="115"/>
    <cellStyle name="Normal 2 4" xfId="116"/>
    <cellStyle name="Normal 3" xfId="117"/>
    <cellStyle name="Normal 4" xfId="118"/>
    <cellStyle name="Note 2" xfId="119"/>
    <cellStyle name="Note 3" xfId="120"/>
    <cellStyle name="Note 4" xfId="121"/>
    <cellStyle name="Output 2" xfId="122"/>
    <cellStyle name="Output 3" xfId="123"/>
    <cellStyle name="Output 4" xfId="124"/>
    <cellStyle name="Percent" xfId="1"/>
    <cellStyle name="Title 2" xfId="125"/>
    <cellStyle name="Title 3" xfId="126"/>
    <cellStyle name="Title 4" xfId="127"/>
    <cellStyle name="Total 2" xfId="128"/>
    <cellStyle name="Total 3" xfId="129"/>
    <cellStyle name="Total 4" xfId="130"/>
    <cellStyle name="Warning Text 2" xfId="131"/>
    <cellStyle name="Warning Text 3" xfId="132"/>
    <cellStyle name="Warning Text 4" xfId="1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view="pageBreakPreview" topLeftCell="B1" zoomScale="70" zoomScaleNormal="100" zoomScaleSheetLayoutView="70" workbookViewId="0">
      <selection activeCell="C5" sqref="C5"/>
    </sheetView>
  </sheetViews>
  <sheetFormatPr defaultColWidth="9.109375" defaultRowHeight="13.8" x14ac:dyDescent="0.25"/>
  <cols>
    <col min="1" max="1" width="45.77734375" style="7" hidden="1" customWidth="1"/>
    <col min="2" max="2" width="39.88671875" style="69" customWidth="1"/>
    <col min="3" max="3" width="29.21875" style="6" customWidth="1"/>
    <col min="4" max="4" width="31.33203125" style="7" customWidth="1"/>
    <col min="5" max="5" width="28.21875" style="6" customWidth="1"/>
    <col min="6" max="6" width="25.5546875" style="69" customWidth="1"/>
    <col min="7" max="7" width="24.44140625" style="6" customWidth="1"/>
    <col min="8" max="8" width="29.88671875" style="15" customWidth="1"/>
    <col min="9" max="9" width="15.6640625" style="6" customWidth="1"/>
    <col min="10" max="16384" width="9.109375" style="6"/>
  </cols>
  <sheetData>
    <row r="1" spans="1:8" ht="30" customHeight="1" x14ac:dyDescent="0.25">
      <c r="B1" s="436" t="s">
        <v>481</v>
      </c>
      <c r="C1" s="436" t="s">
        <v>479</v>
      </c>
      <c r="D1" s="436" t="s">
        <v>38</v>
      </c>
      <c r="E1" s="436" t="s">
        <v>400</v>
      </c>
      <c r="F1" s="425"/>
      <c r="G1" s="426"/>
      <c r="H1" s="387"/>
    </row>
    <row r="2" spans="1:8" s="19" customFormat="1" ht="41.4" x14ac:dyDescent="0.25">
      <c r="A2" s="69"/>
      <c r="B2" s="427" t="s">
        <v>48</v>
      </c>
      <c r="C2" s="428">
        <f>C31-C24</f>
        <v>65650000</v>
      </c>
      <c r="D2" s="428">
        <f>E31</f>
        <v>19862170.463479958</v>
      </c>
      <c r="E2" s="428">
        <f>C2-D2</f>
        <v>45787829.536520042</v>
      </c>
      <c r="F2" s="424"/>
      <c r="G2" s="429"/>
      <c r="H2" s="429"/>
    </row>
    <row r="3" spans="1:8" ht="70.8" hidden="1" customHeight="1" x14ac:dyDescent="0.25">
      <c r="A3" s="422" t="s">
        <v>49</v>
      </c>
      <c r="B3" s="430" t="s">
        <v>171</v>
      </c>
      <c r="C3" s="430" t="s">
        <v>172</v>
      </c>
      <c r="D3" s="431" t="s">
        <v>173</v>
      </c>
      <c r="E3" s="432" t="s">
        <v>174</v>
      </c>
      <c r="F3" s="427" t="s">
        <v>386</v>
      </c>
      <c r="G3" s="431" t="s">
        <v>175</v>
      </c>
      <c r="H3" s="431" t="s">
        <v>473</v>
      </c>
    </row>
    <row r="4" spans="1:8" ht="63.6" customHeight="1" x14ac:dyDescent="0.25">
      <c r="A4" s="444" t="s">
        <v>171</v>
      </c>
      <c r="B4" s="445" t="s">
        <v>36</v>
      </c>
      <c r="C4" s="445" t="s">
        <v>28</v>
      </c>
      <c r="D4" s="445" t="s">
        <v>33</v>
      </c>
      <c r="E4" s="446" t="s">
        <v>76</v>
      </c>
      <c r="F4" s="445" t="s">
        <v>31</v>
      </c>
      <c r="G4" s="445" t="s">
        <v>84</v>
      </c>
      <c r="H4" s="446" t="s">
        <v>478</v>
      </c>
    </row>
    <row r="5" spans="1:8" ht="53.4" customHeight="1" x14ac:dyDescent="0.25">
      <c r="A5" s="423" t="s">
        <v>168</v>
      </c>
      <c r="B5" s="447" t="s">
        <v>20</v>
      </c>
      <c r="C5" s="96">
        <v>5000000</v>
      </c>
      <c r="D5" s="78">
        <f>' GOODS I'!P11</f>
        <v>1649120</v>
      </c>
      <c r="E5" s="78">
        <f>C5-D5</f>
        <v>3350880</v>
      </c>
      <c r="F5" s="428">
        <f>C5-D5-G5</f>
        <v>630880</v>
      </c>
      <c r="G5" s="78">
        <f>' GOODS I'!F11</f>
        <v>2720000</v>
      </c>
      <c r="H5" s="388"/>
    </row>
    <row r="6" spans="1:8" ht="116.4" customHeight="1" x14ac:dyDescent="0.25">
      <c r="A6" s="423" t="s">
        <v>461</v>
      </c>
      <c r="B6" s="447" t="s">
        <v>460</v>
      </c>
      <c r="C6" s="96">
        <f>6500000+500000+1600000+3000000-400000+163500</f>
        <v>11363500</v>
      </c>
      <c r="D6" s="78">
        <f>' GOODS I'!P20</f>
        <v>9913136.5999999978</v>
      </c>
      <c r="E6" s="78">
        <f t="shared" ref="E6:E12" si="0">C6-D6</f>
        <v>1450363.4000000022</v>
      </c>
      <c r="F6" s="428">
        <f>C6-D6-G6</f>
        <v>1450363.4000000022</v>
      </c>
      <c r="G6" s="78">
        <f>' GOODS I'!F20</f>
        <v>0</v>
      </c>
      <c r="H6" s="388"/>
    </row>
    <row r="7" spans="1:8" ht="67.8" customHeight="1" x14ac:dyDescent="0.25">
      <c r="A7" s="423" t="s">
        <v>462</v>
      </c>
      <c r="B7" s="447" t="s">
        <v>467</v>
      </c>
      <c r="C7" s="78">
        <v>1000000</v>
      </c>
      <c r="D7" s="78">
        <f>' GOODS I'!P23</f>
        <v>0</v>
      </c>
      <c r="E7" s="78">
        <f t="shared" si="0"/>
        <v>1000000</v>
      </c>
      <c r="F7" s="428">
        <f t="shared" ref="F7:F12" si="1">C7-D7-G7</f>
        <v>0</v>
      </c>
      <c r="G7" s="78">
        <f>' GOODS I'!F23</f>
        <v>1000000</v>
      </c>
      <c r="H7" s="388"/>
    </row>
    <row r="8" spans="1:8" ht="85.8" customHeight="1" x14ac:dyDescent="0.25">
      <c r="A8" s="423" t="s">
        <v>463</v>
      </c>
      <c r="B8" s="447" t="s">
        <v>468</v>
      </c>
      <c r="C8" s="78">
        <f>2250000+400000</f>
        <v>2650000</v>
      </c>
      <c r="D8" s="78">
        <f>' GOODS I'!P26</f>
        <v>2605314.6</v>
      </c>
      <c r="E8" s="78">
        <f>C8-D8</f>
        <v>44685.399999999907</v>
      </c>
      <c r="F8" s="428">
        <f>C8-D8-G8</f>
        <v>44685.399999999907</v>
      </c>
      <c r="G8" s="78">
        <f>' GOODS I'!F26</f>
        <v>0</v>
      </c>
      <c r="H8" s="388"/>
    </row>
    <row r="9" spans="1:8" ht="63.6" customHeight="1" x14ac:dyDescent="0.25">
      <c r="A9" s="423" t="s">
        <v>464</v>
      </c>
      <c r="B9" s="447" t="s">
        <v>469</v>
      </c>
      <c r="C9" s="96">
        <f>25750000-500000+12000000</f>
        <v>37250000</v>
      </c>
      <c r="D9" s="96">
        <f>' GOODS I'!P48</f>
        <v>27820634.679480519</v>
      </c>
      <c r="E9" s="96">
        <f>C9-D9</f>
        <v>9429365.3205194809</v>
      </c>
      <c r="F9" s="434">
        <f>C9-D9-G9</f>
        <v>4367365.3205194809</v>
      </c>
      <c r="G9" s="78">
        <f>' GOODS I'!F48</f>
        <v>5062000</v>
      </c>
      <c r="H9" s="389"/>
    </row>
    <row r="10" spans="1:8" ht="64.2" customHeight="1" x14ac:dyDescent="0.25">
      <c r="A10" s="423" t="s">
        <v>465</v>
      </c>
      <c r="B10" s="447" t="s">
        <v>470</v>
      </c>
      <c r="C10" s="78">
        <f>2800000+2500000-200000-130000-500000+150000</f>
        <v>4620000</v>
      </c>
      <c r="D10" s="78">
        <f>' GOODS I'!P53</f>
        <v>2365476</v>
      </c>
      <c r="E10" s="78">
        <f>C10-D10</f>
        <v>2254524</v>
      </c>
      <c r="F10" s="428">
        <f>C10-D10-G10</f>
        <v>254524</v>
      </c>
      <c r="G10" s="78">
        <f>' GOODS I'!F53</f>
        <v>2000000</v>
      </c>
      <c r="H10" s="421">
        <f>F10</f>
        <v>254524</v>
      </c>
    </row>
    <row r="11" spans="1:8" ht="67.8" customHeight="1" x14ac:dyDescent="0.25">
      <c r="A11" s="423" t="s">
        <v>466</v>
      </c>
      <c r="B11" s="447" t="s">
        <v>471</v>
      </c>
      <c r="C11" s="78">
        <f>50000-30000+150000+130000+500000</f>
        <v>800000</v>
      </c>
      <c r="D11" s="78">
        <f>' GOODS I'!P63</f>
        <v>254231.82233039249</v>
      </c>
      <c r="E11" s="78">
        <f>C11-D11</f>
        <v>545768.17766960757</v>
      </c>
      <c r="F11" s="428">
        <f>C11-D11-G11</f>
        <v>26768.177669607569</v>
      </c>
      <c r="G11" s="78">
        <f>' GOODS I'!F63</f>
        <v>519000</v>
      </c>
      <c r="H11" s="387"/>
    </row>
    <row r="12" spans="1:8" ht="68.400000000000006" customHeight="1" x14ac:dyDescent="0.25">
      <c r="A12" s="423" t="s">
        <v>340</v>
      </c>
      <c r="B12" s="447" t="s">
        <v>339</v>
      </c>
      <c r="C12" s="78">
        <f>350000+30000+400000</f>
        <v>780000</v>
      </c>
      <c r="D12" s="78">
        <f>' GOODS I'!P67</f>
        <v>379240</v>
      </c>
      <c r="E12" s="78">
        <f t="shared" si="0"/>
        <v>400760</v>
      </c>
      <c r="F12" s="428">
        <f t="shared" si="1"/>
        <v>760</v>
      </c>
      <c r="G12" s="78">
        <f>' GOODS I'!F67</f>
        <v>400000</v>
      </c>
      <c r="H12" s="390"/>
    </row>
    <row r="13" spans="1:8" ht="60" customHeight="1" x14ac:dyDescent="0.25">
      <c r="A13" s="423" t="s">
        <v>169</v>
      </c>
      <c r="B13" s="447" t="s">
        <v>54</v>
      </c>
      <c r="C13" s="78">
        <f>3000000-1600000-150000-400000-463500</f>
        <v>386500</v>
      </c>
      <c r="D13" s="78">
        <f>' GOODS I'!P72</f>
        <v>386496</v>
      </c>
      <c r="E13" s="78">
        <f>C13-D13</f>
        <v>4</v>
      </c>
      <c r="F13" s="428">
        <f>C13-D13-G13</f>
        <v>4</v>
      </c>
      <c r="G13" s="78">
        <f>' GOODS I'!F72</f>
        <v>0</v>
      </c>
      <c r="H13" s="387"/>
    </row>
    <row r="14" spans="1:8" ht="31.8" customHeight="1" x14ac:dyDescent="0.25">
      <c r="A14" s="423" t="s">
        <v>170</v>
      </c>
      <c r="B14" s="433" t="s">
        <v>34</v>
      </c>
      <c r="C14" s="339">
        <f>SUM(C5:C13)</f>
        <v>63850000</v>
      </c>
      <c r="D14" s="339">
        <f>SUM(D5:D13)</f>
        <v>45373649.701810911</v>
      </c>
      <c r="E14" s="339">
        <f>SUM(E5:E13)</f>
        <v>18476350.298189089</v>
      </c>
      <c r="F14" s="339">
        <f>SUM(F5:F13)</f>
        <v>6775350.2981890906</v>
      </c>
      <c r="G14" s="339">
        <f>SUM(G5:G13)</f>
        <v>11701000</v>
      </c>
      <c r="H14" s="387"/>
    </row>
    <row r="15" spans="1:8" s="10" customFormat="1" ht="12.6" customHeight="1" x14ac:dyDescent="0.25">
      <c r="A15" s="116"/>
      <c r="B15" s="448"/>
      <c r="C15" s="449"/>
      <c r="D15" s="449"/>
      <c r="E15" s="449"/>
      <c r="F15" s="449"/>
      <c r="G15" s="449"/>
      <c r="H15" s="450"/>
    </row>
    <row r="16" spans="1:8" ht="47.1" customHeight="1" x14ac:dyDescent="0.25">
      <c r="B16" s="445" t="s">
        <v>37</v>
      </c>
      <c r="C16" s="445" t="s">
        <v>28</v>
      </c>
      <c r="D16" s="445" t="s">
        <v>33</v>
      </c>
      <c r="E16" s="446" t="s">
        <v>76</v>
      </c>
      <c r="F16" s="445" t="s">
        <v>31</v>
      </c>
      <c r="G16" s="445" t="s">
        <v>84</v>
      </c>
      <c r="H16" s="445"/>
    </row>
    <row r="17" spans="1:8" ht="54" customHeight="1" x14ac:dyDescent="0.25">
      <c r="B17" s="70" t="s">
        <v>13</v>
      </c>
      <c r="C17" s="78">
        <v>1000000</v>
      </c>
      <c r="D17" s="78">
        <f>' WORKS I'!O7</f>
        <v>0</v>
      </c>
      <c r="E17" s="420">
        <f>C17-D17</f>
        <v>1000000</v>
      </c>
      <c r="F17" s="428">
        <f>E17-G17</f>
        <v>704628</v>
      </c>
      <c r="G17" s="420">
        <f>' WORKS I'!F7</f>
        <v>295372</v>
      </c>
      <c r="H17" s="388"/>
    </row>
    <row r="18" spans="1:8" ht="34.200000000000003" customHeight="1" x14ac:dyDescent="0.25">
      <c r="B18" s="433" t="s">
        <v>34</v>
      </c>
      <c r="C18" s="339">
        <f>C17</f>
        <v>1000000</v>
      </c>
      <c r="D18" s="339">
        <f>D17</f>
        <v>0</v>
      </c>
      <c r="E18" s="339">
        <f>E17</f>
        <v>1000000</v>
      </c>
      <c r="F18" s="339">
        <f>F17</f>
        <v>704628</v>
      </c>
      <c r="G18" s="339">
        <f>G17</f>
        <v>295372</v>
      </c>
      <c r="H18" s="387"/>
    </row>
    <row r="19" spans="1:8" ht="17.399999999999999" customHeight="1" x14ac:dyDescent="0.25">
      <c r="B19" s="448"/>
      <c r="C19" s="449"/>
      <c r="D19" s="449"/>
      <c r="E19" s="449"/>
      <c r="F19" s="449"/>
      <c r="G19" s="449"/>
      <c r="H19" s="450"/>
    </row>
    <row r="20" spans="1:8" ht="41.4" customHeight="1" x14ac:dyDescent="0.25">
      <c r="B20" s="445" t="s">
        <v>480</v>
      </c>
      <c r="C20" s="445" t="s">
        <v>28</v>
      </c>
      <c r="D20" s="445" t="s">
        <v>33</v>
      </c>
      <c r="E20" s="445" t="s">
        <v>32</v>
      </c>
      <c r="F20" s="445" t="s">
        <v>31</v>
      </c>
      <c r="G20" s="445" t="s">
        <v>84</v>
      </c>
      <c r="H20" s="445"/>
    </row>
    <row r="21" spans="1:8" ht="42.6" customHeight="1" x14ac:dyDescent="0.25">
      <c r="B21" s="424"/>
      <c r="C21" s="78">
        <f>300000+200000</f>
        <v>500000</v>
      </c>
      <c r="D21" s="78">
        <f>' CS I '!L9</f>
        <v>246575</v>
      </c>
      <c r="E21" s="78">
        <f>C21-D21</f>
        <v>253425</v>
      </c>
      <c r="F21" s="437">
        <f>C21-D21-G21</f>
        <v>253425</v>
      </c>
      <c r="G21" s="438">
        <f>' CS I '!E9</f>
        <v>0</v>
      </c>
      <c r="H21" s="387"/>
    </row>
    <row r="22" spans="1:8" ht="41.4" customHeight="1" x14ac:dyDescent="0.25">
      <c r="B22" s="424"/>
      <c r="C22" s="339">
        <f>C21</f>
        <v>500000</v>
      </c>
      <c r="D22" s="339">
        <f>D21</f>
        <v>246575</v>
      </c>
      <c r="E22" s="339">
        <f>E21</f>
        <v>253425</v>
      </c>
      <c r="F22" s="339">
        <f>F21</f>
        <v>253425</v>
      </c>
      <c r="G22" s="339">
        <f>G21</f>
        <v>0</v>
      </c>
      <c r="H22" s="387"/>
    </row>
    <row r="23" spans="1:8" s="10" customFormat="1" ht="17.399999999999999" customHeight="1" x14ac:dyDescent="0.25">
      <c r="A23" s="116"/>
      <c r="B23" s="448"/>
      <c r="C23" s="449"/>
      <c r="D23" s="449"/>
      <c r="E23" s="449"/>
      <c r="F23" s="449"/>
      <c r="G23" s="449"/>
      <c r="H23" s="450"/>
    </row>
    <row r="24" spans="1:8" ht="42.6" customHeight="1" x14ac:dyDescent="0.25">
      <c r="B24" s="446" t="s">
        <v>140</v>
      </c>
      <c r="C24" s="451">
        <f>23500000-3000000-15000000</f>
        <v>5500000</v>
      </c>
      <c r="D24" s="441"/>
      <c r="E24" s="442"/>
      <c r="F24" s="97"/>
      <c r="G24" s="435"/>
      <c r="H24" s="387"/>
    </row>
    <row r="25" spans="1:8" ht="20.399999999999999" customHeight="1" x14ac:dyDescent="0.25">
      <c r="B25" s="448"/>
      <c r="C25" s="449"/>
      <c r="D25" s="449"/>
      <c r="E25" s="449"/>
      <c r="F25" s="449"/>
      <c r="G25" s="449"/>
      <c r="H25" s="450"/>
    </row>
    <row r="26" spans="1:8" s="69" customFormat="1" ht="40.950000000000003" customHeight="1" x14ac:dyDescent="0.25">
      <c r="B26" s="427" t="s">
        <v>47</v>
      </c>
      <c r="C26" s="439"/>
      <c r="D26" s="439"/>
      <c r="E26" s="439"/>
      <c r="F26" s="439"/>
      <c r="G26" s="439"/>
      <c r="H26" s="424"/>
    </row>
    <row r="27" spans="1:8" ht="40.200000000000003" customHeight="1" x14ac:dyDescent="0.25">
      <c r="B27" s="446" t="s">
        <v>44</v>
      </c>
      <c r="C27" s="445" t="s">
        <v>28</v>
      </c>
      <c r="D27" s="445" t="s">
        <v>33</v>
      </c>
      <c r="E27" s="445" t="s">
        <v>32</v>
      </c>
      <c r="F27" s="445" t="s">
        <v>31</v>
      </c>
      <c r="G27" s="445" t="s">
        <v>84</v>
      </c>
      <c r="H27" s="445"/>
    </row>
    <row r="28" spans="1:8" ht="40.200000000000003" customHeight="1" x14ac:dyDescent="0.25">
      <c r="B28" s="424"/>
      <c r="C28" s="78">
        <v>300000</v>
      </c>
      <c r="D28" s="420">
        <f>'CS COMP.III'!L12</f>
        <v>167604.83470913014</v>
      </c>
      <c r="E28" s="420">
        <f>C28-D28</f>
        <v>132395.16529086986</v>
      </c>
      <c r="F28" s="443">
        <f>C28-D28-G28</f>
        <v>132395.16529086986</v>
      </c>
      <c r="G28" s="420">
        <f>'CS COMP.III'!E12</f>
        <v>0</v>
      </c>
      <c r="H28" s="387"/>
    </row>
    <row r="29" spans="1:8" ht="43.5" customHeight="1" x14ac:dyDescent="0.25">
      <c r="B29" s="424"/>
      <c r="C29" s="440">
        <f>C28</f>
        <v>300000</v>
      </c>
      <c r="D29" s="440">
        <f>D28</f>
        <v>167604.83470913014</v>
      </c>
      <c r="E29" s="440">
        <f>E28</f>
        <v>132395.16529086986</v>
      </c>
      <c r="F29" s="339">
        <f>F28</f>
        <v>132395.16529086986</v>
      </c>
      <c r="G29" s="440">
        <f>G28</f>
        <v>0</v>
      </c>
      <c r="H29" s="387"/>
    </row>
    <row r="30" spans="1:8" ht="14.4" thickBot="1" x14ac:dyDescent="0.3">
      <c r="D30" s="12"/>
      <c r="H30" s="6"/>
    </row>
    <row r="31" spans="1:8" ht="45.75" customHeight="1" thickBot="1" x14ac:dyDescent="0.3">
      <c r="B31" s="111" t="s">
        <v>45</v>
      </c>
      <c r="C31" s="43">
        <f>C29+C24+C22+C18+C14</f>
        <v>71150000</v>
      </c>
      <c r="D31" s="14">
        <f>D14+D18+D22+D29</f>
        <v>45787829.536520042</v>
      </c>
      <c r="E31" s="452">
        <f>E14+E18+E22+E29</f>
        <v>19862170.463479958</v>
      </c>
      <c r="F31" s="453"/>
      <c r="G31" s="453"/>
      <c r="H31" s="454"/>
    </row>
  </sheetData>
  <mergeCells count="5">
    <mergeCell ref="E31:H31"/>
    <mergeCell ref="B25:H25"/>
    <mergeCell ref="B15:H15"/>
    <mergeCell ref="B19:H19"/>
    <mergeCell ref="B23:H23"/>
  </mergeCells>
  <pageMargins left="0.7" right="0.7" top="0.75" bottom="0.75" header="0.3" footer="0.3"/>
  <pageSetup paperSize="9" scale="3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"/>
  <sheetViews>
    <sheetView view="pageBreakPreview" zoomScale="55" zoomScaleNormal="91" zoomScaleSheetLayoutView="55" workbookViewId="0">
      <pane ySplit="1" topLeftCell="A26" activePane="bottomLeft" state="frozen"/>
      <selection pane="bottomLeft" activeCell="Q69" sqref="Q69"/>
    </sheetView>
  </sheetViews>
  <sheetFormatPr defaultColWidth="9.109375" defaultRowHeight="13.8" x14ac:dyDescent="0.25"/>
  <cols>
    <col min="1" max="1" width="14.109375" style="249" customWidth="1"/>
    <col min="2" max="2" width="23.6640625" style="174" customWidth="1"/>
    <col min="3" max="3" width="18.5546875" style="204" customWidth="1"/>
    <col min="4" max="4" width="21.21875" style="174" customWidth="1"/>
    <col min="5" max="5" width="21.5546875" style="65" customWidth="1"/>
    <col min="6" max="6" width="22.6640625" style="204" customWidth="1"/>
    <col min="7" max="7" width="19.44140625" style="240" customWidth="1"/>
    <col min="8" max="8" width="22" style="204" customWidth="1"/>
    <col min="9" max="9" width="19.109375" style="204" customWidth="1"/>
    <col min="10" max="10" width="26.33203125" style="204" customWidth="1"/>
    <col min="11" max="11" width="20" style="204" customWidth="1"/>
    <col min="12" max="12" width="28.5546875" style="204" customWidth="1"/>
    <col min="13" max="13" width="24.5546875" style="282" bestFit="1" customWidth="1"/>
    <col min="14" max="14" width="21" style="204" customWidth="1"/>
    <col min="15" max="15" width="20.109375" style="204" customWidth="1"/>
    <col min="16" max="16" width="22.6640625" style="140" bestFit="1" customWidth="1"/>
    <col min="17" max="17" width="24.33203125" style="204" customWidth="1"/>
    <col min="18" max="18" width="18.88671875" style="204" customWidth="1"/>
    <col min="19" max="19" width="9.109375" style="204"/>
    <col min="20" max="20" width="14.33203125" style="204" customWidth="1"/>
    <col min="21" max="22" width="9.109375" style="204"/>
    <col min="23" max="23" width="13.6640625" style="204" customWidth="1"/>
    <col min="24" max="16384" width="9.109375" style="204"/>
  </cols>
  <sheetData>
    <row r="1" spans="1:18" s="135" customFormat="1" ht="90.6" customHeight="1" thickBot="1" x14ac:dyDescent="0.3">
      <c r="A1" s="242" t="s">
        <v>19</v>
      </c>
      <c r="B1" s="132" t="s">
        <v>0</v>
      </c>
      <c r="C1" s="131" t="s">
        <v>74</v>
      </c>
      <c r="D1" s="131" t="s">
        <v>60</v>
      </c>
      <c r="E1" s="48" t="s">
        <v>124</v>
      </c>
      <c r="F1" s="131" t="s">
        <v>125</v>
      </c>
      <c r="G1" s="133" t="s">
        <v>113</v>
      </c>
      <c r="H1" s="131" t="s">
        <v>61</v>
      </c>
      <c r="I1" s="131" t="s">
        <v>58</v>
      </c>
      <c r="J1" s="131" t="s">
        <v>59</v>
      </c>
      <c r="K1" s="131" t="s">
        <v>126</v>
      </c>
      <c r="L1" s="131" t="s">
        <v>56</v>
      </c>
      <c r="M1" s="272" t="s">
        <v>57</v>
      </c>
      <c r="N1" s="134" t="s">
        <v>127</v>
      </c>
      <c r="O1" s="131" t="s">
        <v>62</v>
      </c>
      <c r="P1" s="131" t="s">
        <v>71</v>
      </c>
    </row>
    <row r="2" spans="1:18" s="140" customFormat="1" ht="72.599999999999994" customHeight="1" thickBot="1" x14ac:dyDescent="0.3">
      <c r="A2" s="27"/>
      <c r="B2" s="136" t="s">
        <v>30</v>
      </c>
      <c r="C2" s="137"/>
      <c r="D2" s="137"/>
      <c r="E2" s="49"/>
      <c r="F2" s="137">
        <f>'TOTAL '!C5</f>
        <v>5000000</v>
      </c>
      <c r="G2" s="138"/>
      <c r="H2" s="137"/>
      <c r="I2" s="137"/>
      <c r="J2" s="137"/>
      <c r="K2" s="137"/>
      <c r="L2" s="137"/>
      <c r="M2" s="273"/>
      <c r="N2" s="137"/>
      <c r="O2" s="137"/>
      <c r="P2" s="139"/>
    </row>
    <row r="3" spans="1:18" s="140" customFormat="1" ht="41.4" x14ac:dyDescent="0.25">
      <c r="A3" s="129">
        <v>1</v>
      </c>
      <c r="B3" s="250" t="s">
        <v>50</v>
      </c>
      <c r="C3" s="251"/>
      <c r="D3" s="251" t="s">
        <v>51</v>
      </c>
      <c r="E3" s="285"/>
      <c r="F3" s="253"/>
      <c r="G3" s="254" t="s">
        <v>63</v>
      </c>
      <c r="H3" s="251" t="s">
        <v>64</v>
      </c>
      <c r="I3" s="253" t="s">
        <v>65</v>
      </c>
      <c r="J3" s="253" t="s">
        <v>66</v>
      </c>
      <c r="K3" s="251"/>
      <c r="L3" s="251" t="s">
        <v>82</v>
      </c>
      <c r="M3" s="274">
        <v>54000</v>
      </c>
      <c r="N3" s="255"/>
      <c r="O3" s="253">
        <v>3.33</v>
      </c>
      <c r="P3" s="253">
        <f>M3*O3</f>
        <v>179820</v>
      </c>
    </row>
    <row r="4" spans="1:18" s="140" customFormat="1" ht="69" x14ac:dyDescent="0.25">
      <c r="A4" s="129">
        <v>2</v>
      </c>
      <c r="B4" s="250" t="s">
        <v>176</v>
      </c>
      <c r="C4" s="252"/>
      <c r="D4" s="251" t="s">
        <v>51</v>
      </c>
      <c r="E4" s="285"/>
      <c r="F4" s="253"/>
      <c r="G4" s="254" t="s">
        <v>177</v>
      </c>
      <c r="H4" s="251" t="s">
        <v>178</v>
      </c>
      <c r="I4" s="253" t="s">
        <v>65</v>
      </c>
      <c r="J4" s="253" t="s">
        <v>66</v>
      </c>
      <c r="K4" s="251"/>
      <c r="L4" s="251" t="s">
        <v>179</v>
      </c>
      <c r="M4" s="274">
        <v>3000000</v>
      </c>
      <c r="N4" s="255"/>
      <c r="O4" s="253">
        <f>0.203</f>
        <v>0.20300000000000001</v>
      </c>
      <c r="P4" s="253">
        <v>618000</v>
      </c>
    </row>
    <row r="5" spans="1:18" s="158" customFormat="1" ht="69" x14ac:dyDescent="0.25">
      <c r="A5" s="129">
        <v>4</v>
      </c>
      <c r="B5" s="256" t="s">
        <v>311</v>
      </c>
      <c r="C5" s="257"/>
      <c r="D5" s="257" t="s">
        <v>51</v>
      </c>
      <c r="E5" s="271"/>
      <c r="F5" s="258"/>
      <c r="G5" s="259" t="s">
        <v>63</v>
      </c>
      <c r="H5" s="257" t="s">
        <v>314</v>
      </c>
      <c r="I5" s="258" t="s">
        <v>315</v>
      </c>
      <c r="J5" s="253" t="s">
        <v>66</v>
      </c>
      <c r="K5" s="257"/>
      <c r="L5" s="256" t="s">
        <v>310</v>
      </c>
      <c r="M5" s="275" t="s">
        <v>393</v>
      </c>
      <c r="N5" s="260"/>
      <c r="O5" s="256" t="s">
        <v>394</v>
      </c>
      <c r="P5" s="261">
        <v>802900</v>
      </c>
    </row>
    <row r="6" spans="1:18" s="140" customFormat="1" ht="69" x14ac:dyDescent="0.25">
      <c r="A6" s="129">
        <v>5</v>
      </c>
      <c r="B6" s="257" t="s">
        <v>68</v>
      </c>
      <c r="C6" s="257"/>
      <c r="D6" s="257" t="s">
        <v>51</v>
      </c>
      <c r="E6" s="271"/>
      <c r="F6" s="258"/>
      <c r="G6" s="259" t="s">
        <v>182</v>
      </c>
      <c r="H6" s="257" t="s">
        <v>183</v>
      </c>
      <c r="I6" s="258" t="s">
        <v>184</v>
      </c>
      <c r="J6" s="253" t="s">
        <v>66</v>
      </c>
      <c r="K6" s="257"/>
      <c r="L6" s="257" t="s">
        <v>181</v>
      </c>
      <c r="M6" s="271">
        <v>40000</v>
      </c>
      <c r="N6" s="260"/>
      <c r="O6" s="258">
        <v>1.18</v>
      </c>
      <c r="P6" s="258">
        <v>48400</v>
      </c>
    </row>
    <row r="7" spans="1:18" s="140" customFormat="1" ht="61.2" customHeight="1" x14ac:dyDescent="0.25">
      <c r="A7" s="28">
        <v>3</v>
      </c>
      <c r="B7" s="146" t="s">
        <v>67</v>
      </c>
      <c r="C7" s="146"/>
      <c r="D7" s="146" t="s">
        <v>167</v>
      </c>
      <c r="E7" s="51">
        <v>1600000</v>
      </c>
      <c r="F7" s="147">
        <f>E7*1.5</f>
        <v>2400000</v>
      </c>
      <c r="G7" s="392" t="s">
        <v>459</v>
      </c>
      <c r="H7" s="149"/>
      <c r="I7" s="150"/>
      <c r="J7" s="150"/>
      <c r="K7" s="149"/>
      <c r="L7" s="151"/>
      <c r="M7" s="46"/>
      <c r="N7" s="152"/>
      <c r="O7" s="150"/>
      <c r="P7" s="150"/>
    </row>
    <row r="8" spans="1:18" s="140" customFormat="1" ht="61.2" customHeight="1" x14ac:dyDescent="0.25">
      <c r="A8" s="28">
        <v>6</v>
      </c>
      <c r="B8" s="146" t="s">
        <v>69</v>
      </c>
      <c r="C8" s="159"/>
      <c r="D8" s="146" t="s">
        <v>167</v>
      </c>
      <c r="E8" s="110">
        <v>100000</v>
      </c>
      <c r="F8" s="160">
        <f>E8*1.2</f>
        <v>120000</v>
      </c>
      <c r="G8" s="392" t="s">
        <v>459</v>
      </c>
      <c r="H8" s="161"/>
      <c r="I8" s="162"/>
      <c r="J8" s="141"/>
      <c r="K8" s="161"/>
      <c r="L8" s="163"/>
      <c r="M8" s="100"/>
      <c r="N8" s="164"/>
      <c r="O8" s="162"/>
      <c r="P8" s="162"/>
    </row>
    <row r="9" spans="1:18" s="140" customFormat="1" ht="60" customHeight="1" x14ac:dyDescent="0.25">
      <c r="A9" s="28">
        <v>7</v>
      </c>
      <c r="B9" s="146" t="s">
        <v>317</v>
      </c>
      <c r="C9" s="146"/>
      <c r="D9" s="146" t="s">
        <v>167</v>
      </c>
      <c r="E9" s="51">
        <v>1000000</v>
      </c>
      <c r="F9" s="147">
        <f>E9*0.1</f>
        <v>100000</v>
      </c>
      <c r="G9" s="392" t="s">
        <v>459</v>
      </c>
      <c r="H9" s="149"/>
      <c r="I9" s="150"/>
      <c r="J9" s="150"/>
      <c r="K9" s="149"/>
      <c r="L9" s="151" t="s">
        <v>180</v>
      </c>
      <c r="M9" s="46"/>
      <c r="N9" s="152"/>
      <c r="O9" s="150"/>
      <c r="P9" s="150"/>
    </row>
    <row r="10" spans="1:18" s="140" customFormat="1" ht="57.6" customHeight="1" x14ac:dyDescent="0.25">
      <c r="A10" s="28">
        <v>8</v>
      </c>
      <c r="B10" s="146" t="s">
        <v>316</v>
      </c>
      <c r="C10" s="165"/>
      <c r="D10" s="146" t="s">
        <v>167</v>
      </c>
      <c r="E10" s="42">
        <v>1000000</v>
      </c>
      <c r="F10" s="166">
        <f>E10*0.1</f>
        <v>100000</v>
      </c>
      <c r="G10" s="392" t="s">
        <v>459</v>
      </c>
      <c r="H10" s="167"/>
      <c r="I10" s="168"/>
      <c r="J10" s="168"/>
      <c r="K10" s="167"/>
      <c r="L10" s="169" t="s">
        <v>180</v>
      </c>
      <c r="M10" s="269"/>
      <c r="N10" s="170"/>
      <c r="O10" s="168"/>
      <c r="P10" s="168"/>
    </row>
    <row r="11" spans="1:18" s="174" customFormat="1" ht="48" customHeight="1" thickBot="1" x14ac:dyDescent="0.3">
      <c r="A11" s="407" t="s">
        <v>29</v>
      </c>
      <c r="B11" s="415"/>
      <c r="C11" s="415"/>
      <c r="D11" s="415"/>
      <c r="E11" s="53"/>
      <c r="F11" s="171">
        <f>SUM(F3:F10)</f>
        <v>2720000</v>
      </c>
      <c r="G11" s="172"/>
      <c r="H11" s="173"/>
      <c r="J11" s="173"/>
      <c r="K11" s="173"/>
      <c r="M11" s="281"/>
      <c r="P11" s="175">
        <f>SUM(P3:P10)</f>
        <v>1649120</v>
      </c>
    </row>
    <row r="12" spans="1:18" s="140" customFormat="1" ht="154.19999999999999" customHeight="1" x14ac:dyDescent="0.25">
      <c r="A12" s="36"/>
      <c r="B12" s="176" t="s">
        <v>21</v>
      </c>
      <c r="C12" s="177"/>
      <c r="D12" s="178"/>
      <c r="E12" s="286"/>
      <c r="F12" s="177">
        <f>'TOTAL '!C6</f>
        <v>11363500</v>
      </c>
      <c r="G12" s="179"/>
      <c r="H12" s="177"/>
      <c r="I12" s="177"/>
      <c r="J12" s="177"/>
      <c r="K12" s="177"/>
      <c r="L12" s="177"/>
      <c r="M12" s="276"/>
      <c r="N12" s="177"/>
      <c r="O12" s="177"/>
      <c r="P12" s="180"/>
    </row>
    <row r="13" spans="1:18" s="140" customFormat="1" ht="73.8" customHeight="1" x14ac:dyDescent="0.25">
      <c r="A13" s="37">
        <v>1</v>
      </c>
      <c r="B13" s="154" t="s">
        <v>151</v>
      </c>
      <c r="C13" s="155"/>
      <c r="D13" s="154" t="s">
        <v>51</v>
      </c>
      <c r="E13" s="287"/>
      <c r="F13" s="155"/>
      <c r="G13" s="148" t="s">
        <v>147</v>
      </c>
      <c r="H13" s="154" t="s">
        <v>185</v>
      </c>
      <c r="I13" s="155" t="s">
        <v>186</v>
      </c>
      <c r="J13" s="155" t="s">
        <v>159</v>
      </c>
      <c r="K13" s="155"/>
      <c r="L13" s="154" t="s">
        <v>187</v>
      </c>
      <c r="M13" s="46">
        <v>1</v>
      </c>
      <c r="N13" s="155"/>
      <c r="O13" s="155">
        <v>103980</v>
      </c>
      <c r="P13" s="155">
        <v>103980</v>
      </c>
      <c r="R13" s="181">
        <v>3.6372</v>
      </c>
    </row>
    <row r="14" spans="1:18" s="140" customFormat="1" ht="100.8" customHeight="1" x14ac:dyDescent="0.25">
      <c r="A14" s="37">
        <v>2</v>
      </c>
      <c r="B14" s="182" t="s">
        <v>16</v>
      </c>
      <c r="C14" s="183"/>
      <c r="D14" s="154" t="s">
        <v>51</v>
      </c>
      <c r="E14" s="55"/>
      <c r="F14" s="142"/>
      <c r="G14" s="184" t="s">
        <v>128</v>
      </c>
      <c r="H14" s="185">
        <v>43972</v>
      </c>
      <c r="I14" s="185" t="s">
        <v>129</v>
      </c>
      <c r="J14" s="155" t="s">
        <v>159</v>
      </c>
      <c r="K14" s="186" t="s">
        <v>131</v>
      </c>
      <c r="L14" s="143" t="s">
        <v>130</v>
      </c>
      <c r="M14" s="277">
        <v>30</v>
      </c>
      <c r="N14" s="143"/>
      <c r="O14" s="142">
        <v>13447.92</v>
      </c>
      <c r="P14" s="142">
        <f>M14*O14</f>
        <v>403437.6</v>
      </c>
    </row>
    <row r="15" spans="1:18" s="194" customFormat="1" ht="90" customHeight="1" x14ac:dyDescent="0.25">
      <c r="A15" s="37">
        <v>3</v>
      </c>
      <c r="B15" s="190" t="s">
        <v>155</v>
      </c>
      <c r="C15" s="189"/>
      <c r="D15" s="190" t="s">
        <v>1</v>
      </c>
      <c r="E15" s="101"/>
      <c r="F15" s="189"/>
      <c r="G15" s="191" t="s">
        <v>152</v>
      </c>
      <c r="H15" s="192" t="s">
        <v>153</v>
      </c>
      <c r="I15" s="189"/>
      <c r="J15" s="189"/>
      <c r="K15" s="189"/>
      <c r="L15" s="193" t="s">
        <v>154</v>
      </c>
      <c r="M15" s="269"/>
      <c r="N15" s="189"/>
      <c r="O15" s="189"/>
      <c r="P15" s="189">
        <v>6185998</v>
      </c>
    </row>
    <row r="16" spans="1:18" s="174" customFormat="1" ht="73.8" customHeight="1" x14ac:dyDescent="0.25">
      <c r="A16" s="37">
        <v>4</v>
      </c>
      <c r="B16" s="153" t="s">
        <v>324</v>
      </c>
      <c r="C16" s="157"/>
      <c r="D16" s="154" t="s">
        <v>51</v>
      </c>
      <c r="E16" s="130"/>
      <c r="F16" s="160"/>
      <c r="G16" s="188" t="s">
        <v>382</v>
      </c>
      <c r="H16" s="153" t="s">
        <v>383</v>
      </c>
      <c r="I16" s="153" t="s">
        <v>327</v>
      </c>
      <c r="J16" s="155" t="s">
        <v>159</v>
      </c>
      <c r="K16" s="157"/>
      <c r="L16" s="153" t="s">
        <v>328</v>
      </c>
      <c r="M16" s="277">
        <v>1000</v>
      </c>
      <c r="N16" s="157"/>
      <c r="O16" s="157"/>
      <c r="P16" s="143">
        <v>710000</v>
      </c>
    </row>
    <row r="17" spans="1:17" s="174" customFormat="1" ht="95.4" customHeight="1" x14ac:dyDescent="0.25">
      <c r="A17" s="37">
        <v>5</v>
      </c>
      <c r="B17" s="153" t="s">
        <v>278</v>
      </c>
      <c r="C17" s="168"/>
      <c r="D17" s="154" t="s">
        <v>51</v>
      </c>
      <c r="E17" s="264"/>
      <c r="F17" s="166"/>
      <c r="G17" s="188" t="s">
        <v>365</v>
      </c>
      <c r="H17" s="167" t="s">
        <v>384</v>
      </c>
      <c r="I17" s="167" t="s">
        <v>282</v>
      </c>
      <c r="J17" s="155" t="s">
        <v>159</v>
      </c>
      <c r="K17" s="168"/>
      <c r="L17" s="153" t="s">
        <v>280</v>
      </c>
      <c r="M17" s="109">
        <v>36</v>
      </c>
      <c r="N17" s="168"/>
      <c r="O17" s="168"/>
      <c r="P17" s="143">
        <f>'signed contracts'!$O$36</f>
        <v>585748.80000000005</v>
      </c>
    </row>
    <row r="18" spans="1:17" s="174" customFormat="1" ht="78.599999999999994" customHeight="1" x14ac:dyDescent="0.25">
      <c r="A18" s="37">
        <v>6</v>
      </c>
      <c r="B18" s="153" t="s">
        <v>411</v>
      </c>
      <c r="C18" s="157"/>
      <c r="D18" s="154" t="s">
        <v>51</v>
      </c>
      <c r="E18" s="264"/>
      <c r="F18" s="160"/>
      <c r="G18" s="188" t="s">
        <v>382</v>
      </c>
      <c r="H18" s="78" t="s">
        <v>403</v>
      </c>
      <c r="I18" s="153"/>
      <c r="J18" s="93" t="s">
        <v>195</v>
      </c>
      <c r="K18" s="157"/>
      <c r="L18" s="78" t="s">
        <v>415</v>
      </c>
      <c r="M18" s="130" t="s">
        <v>413</v>
      </c>
      <c r="N18" s="157"/>
      <c r="O18" s="157"/>
      <c r="P18" s="342">
        <v>1702803</v>
      </c>
    </row>
    <row r="19" spans="1:17" s="174" customFormat="1" ht="88.95" customHeight="1" x14ac:dyDescent="0.25">
      <c r="A19" s="37">
        <v>7</v>
      </c>
      <c r="B19" s="153" t="s">
        <v>385</v>
      </c>
      <c r="C19" s="150"/>
      <c r="D19" s="154" t="s">
        <v>51</v>
      </c>
      <c r="E19" s="32"/>
      <c r="F19" s="147"/>
      <c r="G19" s="188" t="s">
        <v>371</v>
      </c>
      <c r="H19" s="78" t="s">
        <v>441</v>
      </c>
      <c r="I19" s="360" t="s">
        <v>399</v>
      </c>
      <c r="J19" s="150" t="s">
        <v>195</v>
      </c>
      <c r="K19" s="150"/>
      <c r="L19" s="78" t="s">
        <v>409</v>
      </c>
      <c r="M19" s="46"/>
      <c r="N19" s="150"/>
      <c r="O19" s="150"/>
      <c r="P19" s="93">
        <v>221169.2</v>
      </c>
    </row>
    <row r="20" spans="1:17" s="135" customFormat="1" ht="79.5" customHeight="1" thickBot="1" x14ac:dyDescent="0.3">
      <c r="A20" s="412" t="s">
        <v>29</v>
      </c>
      <c r="B20" s="413"/>
      <c r="C20" s="413"/>
      <c r="D20" s="414"/>
      <c r="E20" s="56"/>
      <c r="F20" s="195">
        <f>SUM(F13:F19)</f>
        <v>0</v>
      </c>
      <c r="G20" s="172"/>
      <c r="H20" s="173"/>
      <c r="I20" s="173"/>
      <c r="J20" s="173"/>
      <c r="K20" s="173"/>
      <c r="L20" s="174"/>
      <c r="M20" s="281"/>
      <c r="N20" s="174"/>
      <c r="O20" s="174"/>
      <c r="P20" s="263">
        <f>SUM(P13:P19)</f>
        <v>9913136.5999999978</v>
      </c>
    </row>
    <row r="21" spans="1:17" s="140" customFormat="1" ht="114" customHeight="1" thickBot="1" x14ac:dyDescent="0.3">
      <c r="A21" s="27"/>
      <c r="B21" s="196" t="s">
        <v>27</v>
      </c>
      <c r="C21" s="196"/>
      <c r="D21" s="196" t="s">
        <v>2</v>
      </c>
      <c r="E21" s="57"/>
      <c r="F21" s="196">
        <f>'TOTAL '!C7</f>
        <v>1000000</v>
      </c>
      <c r="G21" s="197"/>
      <c r="H21" s="196"/>
      <c r="I21" s="196"/>
      <c r="J21" s="196"/>
      <c r="K21" s="196"/>
      <c r="L21" s="196"/>
      <c r="M21" s="278"/>
      <c r="N21" s="196"/>
      <c r="O21" s="196"/>
      <c r="P21" s="198"/>
    </row>
    <row r="22" spans="1:17" s="174" customFormat="1" ht="115.2" customHeight="1" x14ac:dyDescent="0.25">
      <c r="A22" s="28">
        <v>1</v>
      </c>
      <c r="B22" s="199" t="s">
        <v>40</v>
      </c>
      <c r="C22" s="141"/>
      <c r="D22" s="143"/>
      <c r="E22" s="50">
        <v>40</v>
      </c>
      <c r="F22" s="145">
        <v>1000000</v>
      </c>
      <c r="G22" s="393" t="s">
        <v>459</v>
      </c>
      <c r="H22" s="141"/>
      <c r="I22" s="141"/>
      <c r="J22" s="141"/>
      <c r="K22" s="141"/>
      <c r="L22" s="141"/>
      <c r="M22" s="279"/>
      <c r="N22" s="141"/>
      <c r="O22" s="141"/>
      <c r="P22" s="141">
        <v>0</v>
      </c>
    </row>
    <row r="23" spans="1:17" s="135" customFormat="1" ht="63" customHeight="1" thickBot="1" x14ac:dyDescent="0.3">
      <c r="A23" s="398" t="s">
        <v>29</v>
      </c>
      <c r="B23" s="404"/>
      <c r="C23" s="402"/>
      <c r="D23" s="402"/>
      <c r="E23" s="402"/>
      <c r="F23" s="201">
        <f>SUM(F22:F22)</f>
        <v>1000000</v>
      </c>
      <c r="G23" s="202"/>
      <c r="H23" s="203"/>
      <c r="I23" s="203"/>
      <c r="J23" s="203"/>
      <c r="K23" s="203"/>
      <c r="L23" s="204"/>
      <c r="M23" s="282"/>
      <c r="N23" s="204"/>
      <c r="O23" s="204"/>
      <c r="P23" s="175">
        <f>P22</f>
        <v>0</v>
      </c>
    </row>
    <row r="24" spans="1:17" s="135" customFormat="1" ht="130.5" customHeight="1" thickBot="1" x14ac:dyDescent="0.3">
      <c r="A24" s="27"/>
      <c r="B24" s="196" t="s">
        <v>300</v>
      </c>
      <c r="C24" s="196"/>
      <c r="D24" s="196" t="s">
        <v>2</v>
      </c>
      <c r="E24" s="57"/>
      <c r="F24" s="196">
        <f>'TOTAL '!C8</f>
        <v>2650000</v>
      </c>
      <c r="G24" s="362"/>
      <c r="H24" s="196"/>
      <c r="I24" s="196"/>
      <c r="J24" s="196"/>
      <c r="K24" s="196"/>
      <c r="L24" s="196"/>
      <c r="M24" s="278"/>
      <c r="N24" s="196"/>
      <c r="O24" s="196"/>
      <c r="P24" s="205"/>
    </row>
    <row r="25" spans="1:17" s="174" customFormat="1" ht="139.19999999999999" customHeight="1" x14ac:dyDescent="0.25">
      <c r="A25" s="118">
        <v>1</v>
      </c>
      <c r="B25" s="364" t="s">
        <v>472</v>
      </c>
      <c r="C25" s="143"/>
      <c r="D25" s="143" t="s">
        <v>25</v>
      </c>
      <c r="E25" s="50"/>
      <c r="F25" s="206"/>
      <c r="G25" s="200" t="s">
        <v>443</v>
      </c>
      <c r="H25" s="78" t="s">
        <v>425</v>
      </c>
      <c r="I25" s="363" t="s">
        <v>444</v>
      </c>
      <c r="J25" s="143" t="s">
        <v>159</v>
      </c>
      <c r="K25" s="143"/>
      <c r="L25" s="143" t="s">
        <v>446</v>
      </c>
      <c r="M25" s="277">
        <v>38</v>
      </c>
      <c r="N25" s="143"/>
      <c r="O25" s="143"/>
      <c r="P25" s="93">
        <f>Q25*1.19</f>
        <v>2605314.6</v>
      </c>
      <c r="Q25" s="359">
        <v>2189340</v>
      </c>
    </row>
    <row r="26" spans="1:17" s="135" customFormat="1" ht="78" customHeight="1" thickBot="1" x14ac:dyDescent="0.3">
      <c r="A26" s="407" t="s">
        <v>29</v>
      </c>
      <c r="B26" s="407"/>
      <c r="C26" s="407"/>
      <c r="D26" s="407"/>
      <c r="E26" s="53"/>
      <c r="F26" s="207">
        <f>SUM(F25:F25)</f>
        <v>0</v>
      </c>
      <c r="G26" s="172"/>
      <c r="H26" s="405"/>
      <c r="I26" s="405"/>
      <c r="J26" s="405"/>
      <c r="K26" s="405"/>
      <c r="L26" s="405"/>
      <c r="M26" s="405"/>
      <c r="N26" s="405"/>
      <c r="O26" s="406"/>
      <c r="P26" s="208">
        <f>P25</f>
        <v>2605314.6</v>
      </c>
    </row>
    <row r="27" spans="1:17" s="174" customFormat="1" ht="72.75" customHeight="1" thickBot="1" x14ac:dyDescent="0.3">
      <c r="A27" s="27"/>
      <c r="B27" s="136" t="s">
        <v>22</v>
      </c>
      <c r="C27" s="196"/>
      <c r="D27" s="196" t="s">
        <v>1</v>
      </c>
      <c r="E27" s="57"/>
      <c r="F27" s="196">
        <f>'TOTAL '!C9</f>
        <v>37250000</v>
      </c>
      <c r="G27" s="197"/>
      <c r="H27" s="196"/>
      <c r="I27" s="196"/>
      <c r="J27" s="196"/>
      <c r="K27" s="196"/>
      <c r="L27" s="196"/>
      <c r="M27" s="278"/>
      <c r="N27" s="196"/>
      <c r="O27" s="196"/>
      <c r="P27" s="205"/>
    </row>
    <row r="28" spans="1:17" s="174" customFormat="1" ht="80.25" customHeight="1" x14ac:dyDescent="0.25">
      <c r="A28" s="410">
        <v>1</v>
      </c>
      <c r="B28" s="416" t="s">
        <v>99</v>
      </c>
      <c r="C28" s="183"/>
      <c r="D28" s="183" t="s">
        <v>1</v>
      </c>
      <c r="E28" s="55"/>
      <c r="F28" s="209"/>
      <c r="G28" s="408" t="s">
        <v>85</v>
      </c>
      <c r="H28" s="185" t="s">
        <v>104</v>
      </c>
      <c r="I28" s="210" t="s">
        <v>102</v>
      </c>
      <c r="J28" s="183" t="s">
        <v>66</v>
      </c>
      <c r="K28" s="143" t="s">
        <v>89</v>
      </c>
      <c r="L28" s="211" t="s">
        <v>93</v>
      </c>
      <c r="M28" s="277">
        <v>97000</v>
      </c>
      <c r="N28" s="183" t="s">
        <v>93</v>
      </c>
      <c r="O28" s="183" t="s">
        <v>86</v>
      </c>
      <c r="P28" s="142">
        <v>504400</v>
      </c>
    </row>
    <row r="29" spans="1:17" ht="62.25" customHeight="1" x14ac:dyDescent="0.25">
      <c r="A29" s="411"/>
      <c r="B29" s="417"/>
      <c r="C29" s="211"/>
      <c r="D29" s="211" t="s">
        <v>51</v>
      </c>
      <c r="E29" s="58"/>
      <c r="F29" s="212"/>
      <c r="G29" s="409"/>
      <c r="H29" s="185"/>
      <c r="I29" s="210" t="s">
        <v>102</v>
      </c>
      <c r="J29" s="212" t="s">
        <v>66</v>
      </c>
      <c r="K29" s="187" t="s">
        <v>81</v>
      </c>
      <c r="L29" s="212" t="s">
        <v>88</v>
      </c>
      <c r="M29" s="45" t="s">
        <v>87</v>
      </c>
      <c r="N29" s="183" t="s">
        <v>93</v>
      </c>
      <c r="O29" s="212" t="s">
        <v>86</v>
      </c>
      <c r="P29" s="142">
        <v>520000</v>
      </c>
    </row>
    <row r="30" spans="1:17" s="174" customFormat="1" ht="95.25" customHeight="1" x14ac:dyDescent="0.25">
      <c r="A30" s="243">
        <v>2</v>
      </c>
      <c r="B30" s="213" t="s">
        <v>100</v>
      </c>
      <c r="C30" s="211"/>
      <c r="D30" s="211" t="s">
        <v>1</v>
      </c>
      <c r="E30" s="58"/>
      <c r="F30" s="214"/>
      <c r="G30" s="156" t="s">
        <v>92</v>
      </c>
      <c r="H30" s="215" t="s">
        <v>103</v>
      </c>
      <c r="I30" s="210" t="s">
        <v>117</v>
      </c>
      <c r="J30" s="211" t="s">
        <v>66</v>
      </c>
      <c r="K30" s="211"/>
      <c r="L30" s="211" t="s">
        <v>93</v>
      </c>
      <c r="M30" s="45">
        <v>50000</v>
      </c>
      <c r="N30" s="211" t="s">
        <v>93</v>
      </c>
      <c r="O30" s="211"/>
      <c r="P30" s="154">
        <v>612200</v>
      </c>
    </row>
    <row r="31" spans="1:17" s="174" customFormat="1" ht="72" customHeight="1" x14ac:dyDescent="0.25">
      <c r="A31" s="243">
        <v>3</v>
      </c>
      <c r="B31" s="213" t="s">
        <v>11</v>
      </c>
      <c r="C31" s="211"/>
      <c r="D31" s="211" t="s">
        <v>1</v>
      </c>
      <c r="E31" s="58"/>
      <c r="F31" s="214"/>
      <c r="G31" s="216" t="s">
        <v>94</v>
      </c>
      <c r="H31" s="185" t="s">
        <v>95</v>
      </c>
      <c r="I31" s="217" t="s">
        <v>120</v>
      </c>
      <c r="J31" s="211" t="s">
        <v>98</v>
      </c>
      <c r="K31" s="211"/>
      <c r="L31" s="211" t="s">
        <v>93</v>
      </c>
      <c r="M31" s="45" t="s">
        <v>96</v>
      </c>
      <c r="N31" s="211" t="s">
        <v>93</v>
      </c>
      <c r="O31" s="211" t="s">
        <v>97</v>
      </c>
      <c r="P31" s="154">
        <v>338708</v>
      </c>
    </row>
    <row r="32" spans="1:17" s="174" customFormat="1" ht="85.95" customHeight="1" x14ac:dyDescent="0.25">
      <c r="A32" s="243">
        <v>4</v>
      </c>
      <c r="B32" s="213" t="s">
        <v>101</v>
      </c>
      <c r="C32" s="211"/>
      <c r="D32" s="211" t="s">
        <v>1</v>
      </c>
      <c r="E32" s="58"/>
      <c r="F32" s="214"/>
      <c r="G32" s="156" t="s">
        <v>109</v>
      </c>
      <c r="H32" s="185" t="s">
        <v>110</v>
      </c>
      <c r="I32" s="210" t="s">
        <v>105</v>
      </c>
      <c r="J32" s="211" t="s">
        <v>98</v>
      </c>
      <c r="K32" s="211"/>
      <c r="L32" s="211" t="s">
        <v>112</v>
      </c>
      <c r="M32" s="45">
        <v>1800</v>
      </c>
      <c r="N32" s="211" t="s">
        <v>123</v>
      </c>
      <c r="O32" s="211"/>
      <c r="P32" s="154">
        <v>5685100</v>
      </c>
    </row>
    <row r="33" spans="1:19" ht="55.2" x14ac:dyDescent="0.25">
      <c r="A33" s="243">
        <v>5</v>
      </c>
      <c r="B33" s="149" t="s">
        <v>90</v>
      </c>
      <c r="C33" s="213"/>
      <c r="D33" s="214" t="s">
        <v>51</v>
      </c>
      <c r="E33" s="59"/>
      <c r="F33" s="214"/>
      <c r="G33" s="216" t="s">
        <v>92</v>
      </c>
      <c r="H33" s="185" t="s">
        <v>138</v>
      </c>
      <c r="I33" s="214" t="s">
        <v>117</v>
      </c>
      <c r="J33" s="214" t="s">
        <v>91</v>
      </c>
      <c r="K33" s="214"/>
      <c r="L33" s="214" t="s">
        <v>137</v>
      </c>
      <c r="M33" s="45">
        <v>100000</v>
      </c>
      <c r="N33" s="214"/>
      <c r="O33" s="214">
        <v>9.1875</v>
      </c>
      <c r="P33" s="154">
        <f>M33*O33</f>
        <v>918750</v>
      </c>
      <c r="Q33" s="174"/>
      <c r="R33" s="174"/>
      <c r="S33" s="174"/>
    </row>
    <row r="34" spans="1:19" ht="94.95" customHeight="1" x14ac:dyDescent="0.25">
      <c r="A34" s="243">
        <v>6</v>
      </c>
      <c r="B34" s="149" t="s">
        <v>106</v>
      </c>
      <c r="C34" s="211"/>
      <c r="D34" s="211" t="s">
        <v>1</v>
      </c>
      <c r="E34" s="58"/>
      <c r="F34" s="214"/>
      <c r="G34" s="156" t="s">
        <v>111</v>
      </c>
      <c r="H34" s="185" t="s">
        <v>108</v>
      </c>
      <c r="I34" s="210" t="s">
        <v>105</v>
      </c>
      <c r="J34" s="211" t="s">
        <v>66</v>
      </c>
      <c r="K34" s="211"/>
      <c r="L34" s="211" t="s">
        <v>139</v>
      </c>
      <c r="M34" s="45" t="s">
        <v>107</v>
      </c>
      <c r="N34" s="210">
        <v>44134</v>
      </c>
      <c r="O34" s="211"/>
      <c r="P34" s="154">
        <v>478240.4</v>
      </c>
      <c r="Q34" s="174"/>
      <c r="R34" s="174"/>
      <c r="S34" s="174"/>
    </row>
    <row r="35" spans="1:19" ht="112.5" customHeight="1" x14ac:dyDescent="0.25">
      <c r="A35" s="243">
        <v>7</v>
      </c>
      <c r="B35" s="149" t="s">
        <v>142</v>
      </c>
      <c r="C35" s="214"/>
      <c r="D35" s="214" t="s">
        <v>51</v>
      </c>
      <c r="E35" s="59"/>
      <c r="F35" s="214"/>
      <c r="G35" s="156" t="s">
        <v>143</v>
      </c>
      <c r="H35" s="185" t="s">
        <v>144</v>
      </c>
      <c r="I35" s="214" t="s">
        <v>102</v>
      </c>
      <c r="J35" s="214" t="s">
        <v>91</v>
      </c>
      <c r="K35" s="214"/>
      <c r="L35" s="214" t="s">
        <v>122</v>
      </c>
      <c r="M35" s="45">
        <v>400000</v>
      </c>
      <c r="N35" s="214"/>
      <c r="O35" s="214"/>
      <c r="P35" s="154">
        <v>4200000</v>
      </c>
      <c r="Q35" s="174"/>
      <c r="R35" s="174"/>
      <c r="S35" s="174"/>
    </row>
    <row r="36" spans="1:19" ht="90.75" customHeight="1" x14ac:dyDescent="0.25">
      <c r="A36" s="243">
        <v>8</v>
      </c>
      <c r="B36" s="149" t="s">
        <v>116</v>
      </c>
      <c r="C36" s="218"/>
      <c r="D36" s="214" t="s">
        <v>51</v>
      </c>
      <c r="E36" s="60"/>
      <c r="F36" s="218"/>
      <c r="G36" s="156" t="s">
        <v>146</v>
      </c>
      <c r="H36" s="185" t="s">
        <v>145</v>
      </c>
      <c r="I36" s="214" t="s">
        <v>118</v>
      </c>
      <c r="J36" s="214" t="s">
        <v>91</v>
      </c>
      <c r="K36" s="214" t="s">
        <v>89</v>
      </c>
      <c r="L36" s="214"/>
      <c r="M36" s="267">
        <v>200000</v>
      </c>
      <c r="N36" s="214"/>
      <c r="O36" s="123">
        <v>2.89</v>
      </c>
      <c r="P36" s="154">
        <v>705160</v>
      </c>
      <c r="Q36" s="174"/>
      <c r="R36" s="174"/>
      <c r="S36" s="174"/>
    </row>
    <row r="37" spans="1:19" s="174" customFormat="1" ht="90.75" customHeight="1" x14ac:dyDescent="0.25">
      <c r="A37" s="243">
        <v>9</v>
      </c>
      <c r="B37" s="154" t="s">
        <v>26</v>
      </c>
      <c r="C37" s="214"/>
      <c r="D37" s="214" t="s">
        <v>1</v>
      </c>
      <c r="E37" s="59"/>
      <c r="F37" s="214"/>
      <c r="G37" s="156" t="s">
        <v>161</v>
      </c>
      <c r="H37" s="185" t="s">
        <v>398</v>
      </c>
      <c r="I37" s="214" t="s">
        <v>162</v>
      </c>
      <c r="J37" s="214" t="s">
        <v>66</v>
      </c>
      <c r="K37" s="214"/>
      <c r="L37" s="214"/>
      <c r="M37" s="283">
        <v>1</v>
      </c>
      <c r="N37" s="214"/>
      <c r="O37" s="214"/>
      <c r="P37" s="154">
        <v>536800</v>
      </c>
    </row>
    <row r="38" spans="1:19" ht="96.6" customHeight="1" x14ac:dyDescent="0.25">
      <c r="A38" s="243">
        <v>10</v>
      </c>
      <c r="B38" s="149" t="s">
        <v>353</v>
      </c>
      <c r="C38" s="214"/>
      <c r="D38" s="214" t="s">
        <v>51</v>
      </c>
      <c r="E38" s="59"/>
      <c r="F38" s="214"/>
      <c r="G38" s="156" t="s">
        <v>367</v>
      </c>
      <c r="H38" s="78" t="s">
        <v>292</v>
      </c>
      <c r="I38" s="214" t="s">
        <v>114</v>
      </c>
      <c r="J38" s="214" t="s">
        <v>115</v>
      </c>
      <c r="K38" s="214"/>
      <c r="L38" s="214" t="s">
        <v>119</v>
      </c>
      <c r="M38" s="100">
        <v>240000</v>
      </c>
      <c r="N38" s="218"/>
      <c r="O38" s="218"/>
      <c r="P38" s="126">
        <f>P37*1.22</f>
        <v>654896</v>
      </c>
      <c r="Q38" s="174"/>
      <c r="R38" s="174"/>
      <c r="S38" s="174"/>
    </row>
    <row r="39" spans="1:19" ht="74.400000000000006" customHeight="1" x14ac:dyDescent="0.25">
      <c r="A39" s="243">
        <v>11</v>
      </c>
      <c r="B39" s="149" t="s">
        <v>396</v>
      </c>
      <c r="C39" s="149"/>
      <c r="D39" s="149" t="s">
        <v>51</v>
      </c>
      <c r="E39" s="54"/>
      <c r="F39" s="149"/>
      <c r="G39" s="188" t="s">
        <v>94</v>
      </c>
      <c r="H39" s="149" t="s">
        <v>148</v>
      </c>
      <c r="I39" s="149" t="s">
        <v>149</v>
      </c>
      <c r="J39" s="149"/>
      <c r="K39" s="149"/>
      <c r="L39" s="149" t="s">
        <v>150</v>
      </c>
      <c r="M39" s="45" t="s">
        <v>395</v>
      </c>
      <c r="N39" s="149"/>
      <c r="O39" s="149"/>
      <c r="P39" s="126">
        <f>Q39/3.08</f>
        <v>519480.51948051946</v>
      </c>
      <c r="Q39" s="380">
        <v>1600000</v>
      </c>
      <c r="R39" s="174"/>
      <c r="S39" s="174"/>
    </row>
    <row r="40" spans="1:19" ht="100.95" customHeight="1" x14ac:dyDescent="0.25">
      <c r="A40" s="243">
        <v>12</v>
      </c>
      <c r="B40" s="149" t="s">
        <v>364</v>
      </c>
      <c r="C40" s="214"/>
      <c r="D40" s="214" t="s">
        <v>51</v>
      </c>
      <c r="E40" s="59"/>
      <c r="F40" s="214"/>
      <c r="G40" s="188" t="s">
        <v>366</v>
      </c>
      <c r="H40" s="78" t="s">
        <v>397</v>
      </c>
      <c r="I40" s="78" t="s">
        <v>295</v>
      </c>
      <c r="J40" s="93" t="s">
        <v>159</v>
      </c>
      <c r="K40" s="214"/>
      <c r="L40" s="78" t="s">
        <v>298</v>
      </c>
      <c r="M40" s="109">
        <v>150000</v>
      </c>
      <c r="N40" s="214"/>
      <c r="O40" s="214"/>
      <c r="P40" s="126">
        <v>4391399.76</v>
      </c>
      <c r="Q40" s="174"/>
      <c r="R40" s="174"/>
      <c r="S40" s="174"/>
    </row>
    <row r="41" spans="1:19" ht="66" customHeight="1" x14ac:dyDescent="0.25">
      <c r="A41" s="243">
        <v>13</v>
      </c>
      <c r="B41" s="149" t="s">
        <v>73</v>
      </c>
      <c r="C41" s="154"/>
      <c r="D41" s="154" t="s">
        <v>51</v>
      </c>
      <c r="E41" s="52"/>
      <c r="F41" s="154"/>
      <c r="G41" s="156" t="s">
        <v>83</v>
      </c>
      <c r="H41" s="154" t="s">
        <v>188</v>
      </c>
      <c r="I41" s="154"/>
      <c r="J41" s="154" t="s">
        <v>193</v>
      </c>
      <c r="K41" s="154"/>
      <c r="L41" s="154" t="s">
        <v>192</v>
      </c>
      <c r="M41" s="45">
        <v>50000</v>
      </c>
      <c r="N41" s="154"/>
      <c r="O41" s="154"/>
      <c r="P41" s="154">
        <v>363000</v>
      </c>
      <c r="Q41" s="174"/>
      <c r="R41" s="174"/>
      <c r="S41" s="174"/>
    </row>
    <row r="42" spans="1:19" ht="60.75" customHeight="1" x14ac:dyDescent="0.25">
      <c r="A42" s="243">
        <v>14</v>
      </c>
      <c r="B42" s="149" t="s">
        <v>141</v>
      </c>
      <c r="C42" s="154"/>
      <c r="D42" s="154" t="s">
        <v>51</v>
      </c>
      <c r="E42" s="52"/>
      <c r="F42" s="154"/>
      <c r="G42" s="156" t="s">
        <v>92</v>
      </c>
      <c r="H42" s="154" t="s">
        <v>189</v>
      </c>
      <c r="I42" s="154" t="s">
        <v>190</v>
      </c>
      <c r="J42" s="154" t="s">
        <v>66</v>
      </c>
      <c r="K42" s="218"/>
      <c r="L42" s="149" t="s">
        <v>191</v>
      </c>
      <c r="M42" s="45">
        <v>200000</v>
      </c>
      <c r="N42" s="218"/>
      <c r="O42" s="218"/>
      <c r="P42" s="154">
        <v>2068500</v>
      </c>
      <c r="Q42" s="174"/>
      <c r="R42" s="174"/>
      <c r="S42" s="174"/>
    </row>
    <row r="43" spans="1:19" ht="63.6" customHeight="1" x14ac:dyDescent="0.25">
      <c r="A43" s="243">
        <v>15</v>
      </c>
      <c r="B43" s="149" t="s">
        <v>291</v>
      </c>
      <c r="C43" s="161"/>
      <c r="D43" s="154" t="s">
        <v>51</v>
      </c>
      <c r="E43" s="98"/>
      <c r="F43" s="161"/>
      <c r="G43" s="156" t="s">
        <v>92</v>
      </c>
      <c r="H43" s="78" t="s">
        <v>288</v>
      </c>
      <c r="I43" s="154" t="s">
        <v>190</v>
      </c>
      <c r="J43" s="154" t="s">
        <v>66</v>
      </c>
      <c r="K43" s="221"/>
      <c r="L43" s="78" t="s">
        <v>289</v>
      </c>
      <c r="M43" s="109">
        <v>500000</v>
      </c>
      <c r="N43" s="221"/>
      <c r="O43" s="221"/>
      <c r="P43" s="161">
        <v>2662000</v>
      </c>
      <c r="Q43" s="174"/>
      <c r="R43" s="174"/>
      <c r="S43" s="174"/>
    </row>
    <row r="44" spans="1:19" ht="63.6" customHeight="1" x14ac:dyDescent="0.25">
      <c r="A44" s="243">
        <v>16</v>
      </c>
      <c r="B44" s="149" t="s">
        <v>291</v>
      </c>
      <c r="C44" s="161"/>
      <c r="D44" s="154" t="s">
        <v>51</v>
      </c>
      <c r="E44" s="98"/>
      <c r="F44" s="161"/>
      <c r="G44" s="156" t="s">
        <v>92</v>
      </c>
      <c r="H44" s="78" t="s">
        <v>404</v>
      </c>
      <c r="I44" s="154" t="s">
        <v>190</v>
      </c>
      <c r="J44" s="154" t="s">
        <v>66</v>
      </c>
      <c r="K44" s="221"/>
      <c r="L44" s="154" t="s">
        <v>192</v>
      </c>
      <c r="M44" s="109">
        <v>500000</v>
      </c>
      <c r="N44" s="221"/>
      <c r="O44" s="221"/>
      <c r="P44" s="161">
        <v>2662000</v>
      </c>
      <c r="Q44" s="174"/>
      <c r="R44" s="174"/>
      <c r="S44" s="174"/>
    </row>
    <row r="45" spans="1:19" ht="75.599999999999994" customHeight="1" x14ac:dyDescent="0.25">
      <c r="A45" s="243">
        <v>17</v>
      </c>
      <c r="B45" s="146" t="s">
        <v>423</v>
      </c>
      <c r="C45" s="161"/>
      <c r="D45" s="146" t="s">
        <v>51</v>
      </c>
      <c r="E45" s="60">
        <v>150000</v>
      </c>
      <c r="F45" s="159">
        <v>1800000</v>
      </c>
      <c r="G45" s="394" t="s">
        <v>459</v>
      </c>
      <c r="H45" s="78"/>
      <c r="I45" s="161"/>
      <c r="J45" s="161"/>
      <c r="K45" s="221"/>
      <c r="L45" s="161"/>
      <c r="M45" s="109"/>
      <c r="N45" s="221"/>
      <c r="O45" s="221"/>
      <c r="P45" s="161"/>
      <c r="Q45" s="174"/>
      <c r="R45" s="174"/>
      <c r="S45" s="174"/>
    </row>
    <row r="46" spans="1:19" ht="78.599999999999994" customHeight="1" x14ac:dyDescent="0.25">
      <c r="A46" s="243">
        <v>18</v>
      </c>
      <c r="B46" s="146" t="s">
        <v>291</v>
      </c>
      <c r="C46" s="218"/>
      <c r="D46" s="146" t="s">
        <v>51</v>
      </c>
      <c r="E46" s="60">
        <v>500000</v>
      </c>
      <c r="F46" s="159">
        <v>2662000</v>
      </c>
      <c r="G46" s="395" t="s">
        <v>459</v>
      </c>
      <c r="H46" s="218"/>
      <c r="I46" s="218"/>
      <c r="J46" s="218"/>
      <c r="K46" s="218"/>
      <c r="L46" s="218"/>
      <c r="M46" s="45"/>
      <c r="N46" s="218"/>
      <c r="O46" s="218"/>
      <c r="P46" s="146"/>
      <c r="Q46" s="174"/>
      <c r="R46" s="174"/>
      <c r="S46" s="174"/>
    </row>
    <row r="47" spans="1:19" ht="78" customHeight="1" x14ac:dyDescent="0.25">
      <c r="A47" s="243">
        <v>19</v>
      </c>
      <c r="B47" s="146" t="s">
        <v>11</v>
      </c>
      <c r="C47" s="218"/>
      <c r="D47" s="146" t="s">
        <v>51</v>
      </c>
      <c r="E47" s="60">
        <v>200000</v>
      </c>
      <c r="F47" s="159">
        <v>600000</v>
      </c>
      <c r="G47" s="395" t="s">
        <v>459</v>
      </c>
      <c r="H47" s="218"/>
      <c r="I47" s="218"/>
      <c r="J47" s="218"/>
      <c r="K47" s="218"/>
      <c r="L47" s="218"/>
      <c r="M47" s="45"/>
      <c r="N47" s="218"/>
      <c r="O47" s="218"/>
      <c r="P47" s="146"/>
      <c r="Q47" s="174"/>
      <c r="R47" s="174"/>
      <c r="S47" s="174"/>
    </row>
    <row r="48" spans="1:19" ht="78.599999999999994" customHeight="1" x14ac:dyDescent="0.25">
      <c r="A48" s="415" t="s">
        <v>29</v>
      </c>
      <c r="B48" s="415"/>
      <c r="C48" s="415"/>
      <c r="D48" s="415"/>
      <c r="E48" s="53"/>
      <c r="F48" s="222">
        <f>SUM(F28:F47)</f>
        <v>5062000</v>
      </c>
      <c r="G48" s="202"/>
      <c r="P48" s="223">
        <f>SUM(P28:P47)</f>
        <v>27820634.679480519</v>
      </c>
    </row>
    <row r="49" spans="1:17" s="135" customFormat="1" ht="93.75" customHeight="1" x14ac:dyDescent="0.25">
      <c r="A49" s="244"/>
      <c r="B49" s="224" t="s">
        <v>23</v>
      </c>
      <c r="C49" s="224"/>
      <c r="D49" s="224" t="s">
        <v>14</v>
      </c>
      <c r="E49" s="61"/>
      <c r="F49" s="224">
        <f>'TOTAL '!C10</f>
        <v>4620000</v>
      </c>
      <c r="G49" s="188"/>
      <c r="H49" s="224"/>
      <c r="I49" s="224"/>
      <c r="J49" s="224"/>
      <c r="K49" s="224"/>
      <c r="L49" s="224"/>
      <c r="M49" s="280"/>
      <c r="N49" s="224"/>
      <c r="O49" s="224"/>
      <c r="P49" s="224"/>
    </row>
    <row r="50" spans="1:17" ht="93.6" customHeight="1" x14ac:dyDescent="0.25">
      <c r="A50" s="35">
        <v>1</v>
      </c>
      <c r="B50" s="213" t="s">
        <v>12</v>
      </c>
      <c r="C50" s="211"/>
      <c r="D50" s="183" t="s">
        <v>1</v>
      </c>
      <c r="E50" s="58"/>
      <c r="F50" s="214"/>
      <c r="G50" s="184" t="s">
        <v>132</v>
      </c>
      <c r="H50" s="210">
        <v>43971</v>
      </c>
      <c r="I50" s="210" t="s">
        <v>133</v>
      </c>
      <c r="J50" s="211" t="s">
        <v>134</v>
      </c>
      <c r="K50" s="225" t="s">
        <v>135</v>
      </c>
      <c r="L50" s="211" t="s">
        <v>136</v>
      </c>
      <c r="M50" s="45">
        <v>20</v>
      </c>
      <c r="N50" s="211"/>
      <c r="O50" s="211"/>
      <c r="P50" s="154">
        <v>313476</v>
      </c>
    </row>
    <row r="51" spans="1:17" s="174" customFormat="1" ht="88.8" customHeight="1" x14ac:dyDescent="0.25">
      <c r="A51" s="35">
        <v>2</v>
      </c>
      <c r="B51" s="153" t="s">
        <v>303</v>
      </c>
      <c r="C51" s="211"/>
      <c r="D51" s="183" t="s">
        <v>1</v>
      </c>
      <c r="E51" s="58"/>
      <c r="F51" s="218"/>
      <c r="G51" s="184" t="s">
        <v>302</v>
      </c>
      <c r="H51" s="211" t="s">
        <v>305</v>
      </c>
      <c r="I51" s="210" t="s">
        <v>302</v>
      </c>
      <c r="J51" s="211" t="s">
        <v>66</v>
      </c>
      <c r="K51" s="211"/>
      <c r="L51" s="153" t="s">
        <v>306</v>
      </c>
      <c r="M51" s="45"/>
      <c r="N51" s="211"/>
      <c r="O51" s="211"/>
      <c r="P51" s="149">
        <f>Q51*1.08</f>
        <v>2052000.0000000002</v>
      </c>
      <c r="Q51" s="226">
        <v>1900000</v>
      </c>
    </row>
    <row r="52" spans="1:17" ht="78.599999999999994" customHeight="1" x14ac:dyDescent="0.25">
      <c r="A52" s="35">
        <v>3</v>
      </c>
      <c r="B52" s="381" t="s">
        <v>323</v>
      </c>
      <c r="C52" s="221"/>
      <c r="D52" s="229" t="s">
        <v>25</v>
      </c>
      <c r="E52" s="382"/>
      <c r="F52" s="221">
        <v>2000000</v>
      </c>
      <c r="G52" s="383" t="s">
        <v>459</v>
      </c>
      <c r="H52" s="384"/>
      <c r="I52" s="384"/>
      <c r="J52" s="221"/>
      <c r="K52" s="385"/>
      <c r="L52" s="221"/>
      <c r="M52" s="386"/>
      <c r="N52" s="221"/>
      <c r="O52" s="221"/>
      <c r="P52" s="159">
        <v>0</v>
      </c>
    </row>
    <row r="53" spans="1:17" s="174" customFormat="1" ht="57" customHeight="1" thickBot="1" x14ac:dyDescent="0.3">
      <c r="A53" s="404" t="s">
        <v>29</v>
      </c>
      <c r="B53" s="402"/>
      <c r="C53" s="402"/>
      <c r="D53" s="402"/>
      <c r="E53" s="403"/>
      <c r="F53" s="207">
        <f>SUM(F50:F52)</f>
        <v>2000000</v>
      </c>
      <c r="G53" s="227"/>
      <c r="H53" s="400"/>
      <c r="I53" s="400"/>
      <c r="J53" s="400"/>
      <c r="K53" s="400"/>
      <c r="L53" s="400"/>
      <c r="M53" s="400"/>
      <c r="N53" s="400"/>
      <c r="O53" s="401"/>
      <c r="P53" s="208">
        <f>SUM(P50:P52)</f>
        <v>2365476</v>
      </c>
    </row>
    <row r="54" spans="1:17" s="135" customFormat="1" ht="81" customHeight="1" thickBot="1" x14ac:dyDescent="0.3">
      <c r="A54" s="245"/>
      <c r="B54" s="136" t="s">
        <v>24</v>
      </c>
      <c r="C54" s="228"/>
      <c r="D54" s="228" t="s">
        <v>14</v>
      </c>
      <c r="E54" s="62"/>
      <c r="F54" s="196">
        <f>'TOTAL '!C11</f>
        <v>800000</v>
      </c>
      <c r="G54" s="197"/>
      <c r="H54" s="228"/>
      <c r="I54" s="228"/>
      <c r="J54" s="228"/>
      <c r="K54" s="228"/>
      <c r="L54" s="228"/>
      <c r="M54" s="278"/>
      <c r="N54" s="228"/>
      <c r="O54" s="228"/>
      <c r="P54" s="205"/>
    </row>
    <row r="55" spans="1:17" s="135" customFormat="1" ht="86.4" customHeight="1" x14ac:dyDescent="0.25">
      <c r="A55" s="119">
        <v>1</v>
      </c>
      <c r="B55" s="78" t="s">
        <v>448</v>
      </c>
      <c r="C55" s="183"/>
      <c r="D55" s="183"/>
      <c r="E55" s="55">
        <v>1</v>
      </c>
      <c r="F55" s="143"/>
      <c r="G55" s="144" t="s">
        <v>447</v>
      </c>
      <c r="H55" s="78" t="s">
        <v>449</v>
      </c>
      <c r="I55" s="375" t="s">
        <v>451</v>
      </c>
      <c r="J55" s="183" t="s">
        <v>195</v>
      </c>
      <c r="K55" s="183"/>
      <c r="L55" s="367" t="s">
        <v>452</v>
      </c>
      <c r="M55" s="277">
        <v>1</v>
      </c>
      <c r="N55" s="183"/>
      <c r="O55" s="183"/>
      <c r="P55" s="93">
        <v>81769.394584727721</v>
      </c>
    </row>
    <row r="56" spans="1:17" s="135" customFormat="1" ht="86.4" customHeight="1" x14ac:dyDescent="0.25">
      <c r="A56" s="119">
        <v>2</v>
      </c>
      <c r="B56" s="78" t="s">
        <v>453</v>
      </c>
      <c r="C56" s="183"/>
      <c r="D56" s="183"/>
      <c r="E56" s="55">
        <v>1</v>
      </c>
      <c r="F56" s="143"/>
      <c r="G56" s="144" t="s">
        <v>454</v>
      </c>
      <c r="H56" s="78" t="s">
        <v>455</v>
      </c>
      <c r="I56" s="375" t="s">
        <v>456</v>
      </c>
      <c r="J56" s="183" t="s">
        <v>195</v>
      </c>
      <c r="K56" s="183"/>
      <c r="L56" s="112" t="s">
        <v>452</v>
      </c>
      <c r="M56" s="277">
        <v>1</v>
      </c>
      <c r="N56" s="183"/>
      <c r="O56" s="183"/>
      <c r="P56" s="93">
        <v>172462.42774566475</v>
      </c>
    </row>
    <row r="57" spans="1:17" s="135" customFormat="1" ht="67.2" customHeight="1" x14ac:dyDescent="0.25">
      <c r="A57" s="119">
        <v>3</v>
      </c>
      <c r="B57" s="229" t="s">
        <v>318</v>
      </c>
      <c r="C57" s="229"/>
      <c r="D57" s="229"/>
      <c r="E57" s="391">
        <v>10</v>
      </c>
      <c r="F57" s="199">
        <v>30000</v>
      </c>
      <c r="G57" s="144" t="s">
        <v>474</v>
      </c>
      <c r="H57" s="183"/>
      <c r="I57" s="183"/>
      <c r="J57" s="183"/>
      <c r="K57" s="183"/>
      <c r="L57" s="183"/>
      <c r="M57" s="277"/>
      <c r="N57" s="183"/>
      <c r="O57" s="183"/>
      <c r="P57" s="143"/>
    </row>
    <row r="58" spans="1:17" s="135" customFormat="1" ht="81.599999999999994" customHeight="1" x14ac:dyDescent="0.25">
      <c r="A58" s="119">
        <v>4</v>
      </c>
      <c r="B58" s="229" t="s">
        <v>319</v>
      </c>
      <c r="C58" s="229"/>
      <c r="D58" s="229"/>
      <c r="E58" s="391">
        <v>100</v>
      </c>
      <c r="F58" s="199">
        <f>150*E58</f>
        <v>15000</v>
      </c>
      <c r="G58" s="144" t="s">
        <v>474</v>
      </c>
      <c r="H58" s="183"/>
      <c r="I58" s="183"/>
      <c r="J58" s="183"/>
      <c r="K58" s="183"/>
      <c r="L58" s="183"/>
      <c r="M58" s="277"/>
      <c r="N58" s="183"/>
      <c r="O58" s="183"/>
      <c r="P58" s="143"/>
    </row>
    <row r="59" spans="1:17" s="135" customFormat="1" ht="70.2" customHeight="1" x14ac:dyDescent="0.25">
      <c r="A59" s="119">
        <v>5</v>
      </c>
      <c r="B59" s="229" t="s">
        <v>320</v>
      </c>
      <c r="C59" s="229"/>
      <c r="D59" s="229"/>
      <c r="E59" s="391">
        <v>360</v>
      </c>
      <c r="F59" s="199">
        <f>E59*300</f>
        <v>108000</v>
      </c>
      <c r="G59" s="144" t="s">
        <v>474</v>
      </c>
      <c r="H59" s="183"/>
      <c r="I59" s="183"/>
      <c r="J59" s="183"/>
      <c r="K59" s="183"/>
      <c r="L59" s="183"/>
      <c r="M59" s="277"/>
      <c r="N59" s="183"/>
      <c r="O59" s="183"/>
      <c r="P59" s="143"/>
    </row>
    <row r="60" spans="1:17" s="135" customFormat="1" ht="74.25" customHeight="1" x14ac:dyDescent="0.25">
      <c r="A60" s="119">
        <v>6</v>
      </c>
      <c r="B60" s="229" t="s">
        <v>321</v>
      </c>
      <c r="C60" s="229"/>
      <c r="D60" s="229"/>
      <c r="E60" s="391">
        <v>100</v>
      </c>
      <c r="F60" s="199">
        <f>560*E60</f>
        <v>56000</v>
      </c>
      <c r="G60" s="144" t="s">
        <v>474</v>
      </c>
      <c r="H60" s="183"/>
      <c r="I60" s="183"/>
      <c r="J60" s="183"/>
      <c r="K60" s="183"/>
      <c r="L60" s="183"/>
      <c r="M60" s="277"/>
      <c r="N60" s="183"/>
      <c r="O60" s="183"/>
      <c r="P60" s="143"/>
    </row>
    <row r="61" spans="1:17" s="135" customFormat="1" ht="70.2" customHeight="1" x14ac:dyDescent="0.25">
      <c r="A61" s="119">
        <v>7</v>
      </c>
      <c r="B61" s="229" t="s">
        <v>322</v>
      </c>
      <c r="C61" s="218"/>
      <c r="D61" s="218"/>
      <c r="E61" s="60">
        <v>350</v>
      </c>
      <c r="F61" s="146">
        <f>800*E61</f>
        <v>280000</v>
      </c>
      <c r="G61" s="144" t="s">
        <v>474</v>
      </c>
      <c r="H61" s="211"/>
      <c r="I61" s="211"/>
      <c r="J61" s="211"/>
      <c r="K61" s="183"/>
      <c r="L61" s="183"/>
      <c r="M61" s="277"/>
      <c r="N61" s="183"/>
      <c r="O61" s="183"/>
      <c r="P61" s="143"/>
    </row>
    <row r="62" spans="1:17" s="378" customFormat="1" ht="74.25" customHeight="1" thickBot="1" x14ac:dyDescent="0.3">
      <c r="A62" s="119">
        <v>8</v>
      </c>
      <c r="B62" s="229" t="s">
        <v>318</v>
      </c>
      <c r="C62" s="229"/>
      <c r="D62" s="229"/>
      <c r="E62" s="391">
        <v>21</v>
      </c>
      <c r="F62" s="199">
        <v>30000</v>
      </c>
      <c r="G62" s="144" t="s">
        <v>474</v>
      </c>
      <c r="H62" s="183"/>
      <c r="I62" s="183"/>
      <c r="J62" s="183"/>
      <c r="K62" s="183"/>
      <c r="L62" s="183"/>
      <c r="M62" s="277"/>
      <c r="N62" s="183"/>
      <c r="O62" s="183"/>
      <c r="P62" s="379"/>
    </row>
    <row r="63" spans="1:17" s="174" customFormat="1" ht="69" customHeight="1" thickBot="1" x14ac:dyDescent="0.3">
      <c r="A63" s="407" t="s">
        <v>29</v>
      </c>
      <c r="B63" s="407"/>
      <c r="C63" s="407"/>
      <c r="D63" s="407"/>
      <c r="E63" s="53"/>
      <c r="F63" s="230">
        <f>SUM(F55:F62)</f>
        <v>519000</v>
      </c>
      <c r="G63" s="231"/>
      <c r="H63" s="232"/>
      <c r="I63" s="232"/>
      <c r="J63" s="232"/>
      <c r="K63" s="232"/>
      <c r="M63" s="281"/>
      <c r="P63" s="175">
        <f>SUM(P55:P62)</f>
        <v>254231.82233039249</v>
      </c>
    </row>
    <row r="64" spans="1:17" s="135" customFormat="1" ht="90" customHeight="1" thickBot="1" x14ac:dyDescent="0.3">
      <c r="A64" s="247"/>
      <c r="B64" s="176" t="s">
        <v>341</v>
      </c>
      <c r="C64" s="178"/>
      <c r="D64" s="178" t="s">
        <v>14</v>
      </c>
      <c r="E64" s="63"/>
      <c r="F64" s="196">
        <f>'TOTAL '!C12</f>
        <v>780000</v>
      </c>
      <c r="G64" s="197"/>
      <c r="H64" s="196"/>
      <c r="I64" s="196"/>
      <c r="J64" s="196"/>
      <c r="K64" s="196"/>
      <c r="L64" s="196"/>
      <c r="M64" s="278"/>
      <c r="N64" s="196"/>
      <c r="O64" s="196"/>
      <c r="P64" s="205"/>
    </row>
    <row r="65" spans="1:16" s="290" customFormat="1" ht="96.6" customHeight="1" x14ac:dyDescent="0.25">
      <c r="A65" s="288">
        <v>1</v>
      </c>
      <c r="B65" s="190" t="s">
        <v>402</v>
      </c>
      <c r="C65" s="192"/>
      <c r="D65" s="193" t="s">
        <v>25</v>
      </c>
      <c r="E65" s="289"/>
      <c r="F65" s="262"/>
      <c r="G65" s="184" t="s">
        <v>164</v>
      </c>
      <c r="H65" s="142" t="s">
        <v>196</v>
      </c>
      <c r="I65" s="193" t="s">
        <v>197</v>
      </c>
      <c r="J65" s="262" t="s">
        <v>195</v>
      </c>
      <c r="K65" s="262"/>
      <c r="L65" s="155" t="s">
        <v>194</v>
      </c>
      <c r="M65" s="46" t="s">
        <v>165</v>
      </c>
      <c r="N65" s="262"/>
      <c r="O65" s="262"/>
      <c r="P65" s="262">
        <v>379240</v>
      </c>
    </row>
    <row r="66" spans="1:16" ht="79.8" customHeight="1" x14ac:dyDescent="0.25">
      <c r="A66" s="248">
        <v>2</v>
      </c>
      <c r="B66" s="165" t="s">
        <v>338</v>
      </c>
      <c r="C66" s="396"/>
      <c r="D66" s="165" t="s">
        <v>25</v>
      </c>
      <c r="E66" s="397">
        <v>15</v>
      </c>
      <c r="F66" s="147">
        <v>400000</v>
      </c>
      <c r="G66" s="392" t="s">
        <v>459</v>
      </c>
      <c r="H66" s="219"/>
      <c r="I66" s="219"/>
      <c r="J66" s="219"/>
      <c r="K66" s="219"/>
      <c r="L66" s="219"/>
      <c r="M66" s="46"/>
      <c r="N66" s="219"/>
      <c r="O66" s="219"/>
      <c r="P66" s="150"/>
    </row>
    <row r="67" spans="1:16" s="174" customFormat="1" ht="93.6" customHeight="1" x14ac:dyDescent="0.25">
      <c r="A67" s="242" t="s">
        <v>29</v>
      </c>
      <c r="B67" s="233"/>
      <c r="C67" s="233"/>
      <c r="D67" s="233"/>
      <c r="E67" s="48"/>
      <c r="F67" s="207">
        <f>F65+F66</f>
        <v>400000</v>
      </c>
      <c r="G67" s="227"/>
      <c r="H67" s="402"/>
      <c r="I67" s="402"/>
      <c r="J67" s="402"/>
      <c r="K67" s="402"/>
      <c r="L67" s="402"/>
      <c r="M67" s="402"/>
      <c r="N67" s="402"/>
      <c r="O67" s="403"/>
      <c r="P67" s="208">
        <f>P65+P66</f>
        <v>379240</v>
      </c>
    </row>
    <row r="68" spans="1:16" s="174" customFormat="1" ht="77.400000000000006" customHeight="1" x14ac:dyDescent="0.25">
      <c r="A68" s="246"/>
      <c r="B68" s="234" t="s">
        <v>54</v>
      </c>
      <c r="C68" s="235"/>
      <c r="D68" s="236"/>
      <c r="E68" s="64"/>
      <c r="F68" s="234">
        <f>'TOTAL '!C13</f>
        <v>386500</v>
      </c>
      <c r="G68" s="188"/>
      <c r="H68" s="235"/>
      <c r="I68" s="235"/>
      <c r="J68" s="235"/>
      <c r="K68" s="235"/>
      <c r="L68" s="237"/>
      <c r="M68" s="284"/>
      <c r="N68" s="237"/>
      <c r="O68" s="237"/>
      <c r="P68" s="234"/>
    </row>
    <row r="69" spans="1:16" s="174" customFormat="1" ht="96.6" customHeight="1" x14ac:dyDescent="0.25">
      <c r="A69" s="34">
        <v>1</v>
      </c>
      <c r="B69" s="182" t="s">
        <v>156</v>
      </c>
      <c r="C69" s="183"/>
      <c r="D69" s="183" t="s">
        <v>1</v>
      </c>
      <c r="E69" s="55"/>
      <c r="F69" s="229"/>
      <c r="G69" s="148" t="s">
        <v>158</v>
      </c>
      <c r="H69" s="183" t="s">
        <v>157</v>
      </c>
      <c r="I69" s="238" t="s">
        <v>158</v>
      </c>
      <c r="J69" s="183" t="s">
        <v>159</v>
      </c>
      <c r="K69" s="183"/>
      <c r="L69" s="211" t="s">
        <v>160</v>
      </c>
      <c r="M69" s="277"/>
      <c r="N69" s="183"/>
      <c r="O69" s="183"/>
      <c r="P69" s="142">
        <v>58476</v>
      </c>
    </row>
    <row r="70" spans="1:16" s="174" customFormat="1" ht="88.8" customHeight="1" x14ac:dyDescent="0.25">
      <c r="A70" s="35">
        <v>2</v>
      </c>
      <c r="B70" s="291" t="s">
        <v>200</v>
      </c>
      <c r="C70" s="214"/>
      <c r="D70" s="209" t="s">
        <v>1</v>
      </c>
      <c r="E70" s="59"/>
      <c r="F70" s="292"/>
      <c r="G70" s="293" t="s">
        <v>163</v>
      </c>
      <c r="H70" s="209" t="s">
        <v>199</v>
      </c>
      <c r="I70" s="214" t="s">
        <v>399</v>
      </c>
      <c r="J70" s="209" t="s">
        <v>159</v>
      </c>
      <c r="K70" s="214"/>
      <c r="L70" s="214" t="s">
        <v>198</v>
      </c>
      <c r="M70" s="45"/>
      <c r="N70" s="214"/>
      <c r="O70" s="214"/>
      <c r="P70" s="294">
        <v>328020</v>
      </c>
    </row>
    <row r="71" spans="1:16" s="174" customFormat="1" ht="62.25" customHeight="1" x14ac:dyDescent="0.25">
      <c r="A71" s="243"/>
      <c r="B71" s="211"/>
      <c r="C71" s="211"/>
      <c r="D71" s="211"/>
      <c r="E71" s="58"/>
      <c r="F71" s="218"/>
      <c r="G71" s="220"/>
      <c r="H71" s="211"/>
      <c r="I71" s="211"/>
      <c r="J71" s="211"/>
      <c r="K71" s="211"/>
      <c r="L71" s="211"/>
      <c r="M71" s="45"/>
      <c r="N71" s="211"/>
      <c r="O71" s="211"/>
      <c r="P71" s="154"/>
    </row>
    <row r="72" spans="1:16" ht="29.25" customHeight="1" x14ac:dyDescent="0.25">
      <c r="F72" s="239">
        <f>F69+F70</f>
        <v>0</v>
      </c>
      <c r="P72" s="241">
        <f>P69+P70</f>
        <v>386496</v>
      </c>
    </row>
  </sheetData>
  <mergeCells count="13">
    <mergeCell ref="A20:D20"/>
    <mergeCell ref="A11:D11"/>
    <mergeCell ref="A26:D26"/>
    <mergeCell ref="A48:D48"/>
    <mergeCell ref="A53:E53"/>
    <mergeCell ref="B28:B29"/>
    <mergeCell ref="H53:O53"/>
    <mergeCell ref="H67:O67"/>
    <mergeCell ref="B23:E23"/>
    <mergeCell ref="H26:O26"/>
    <mergeCell ref="A63:D63"/>
    <mergeCell ref="G28:G29"/>
    <mergeCell ref="A28:A29"/>
  </mergeCells>
  <pageMargins left="0.7" right="0.7" top="0.75" bottom="0.75" header="0.3" footer="0.3"/>
  <pageSetup paperSize="9" scale="1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view="pageBreakPreview" zoomScale="96" zoomScaleNormal="84" zoomScaleSheetLayoutView="96" workbookViewId="0">
      <selection activeCell="E14" sqref="E14"/>
    </sheetView>
  </sheetViews>
  <sheetFormatPr defaultColWidth="9.109375" defaultRowHeight="13.8" x14ac:dyDescent="0.25"/>
  <cols>
    <col min="1" max="1" width="5.6640625" style="69" customWidth="1"/>
    <col min="2" max="2" width="21.33203125" style="295" customWidth="1"/>
    <col min="3" max="3" width="12.44140625" style="69" customWidth="1"/>
    <col min="4" max="4" width="12.5546875" style="69" customWidth="1"/>
    <col min="5" max="5" width="13.6640625" style="69" customWidth="1"/>
    <col min="6" max="6" width="16.44140625" style="69" bestFit="1" customWidth="1"/>
    <col min="7" max="7" width="13.5546875" style="69" customWidth="1"/>
    <col min="8" max="8" width="12.88671875" style="69" customWidth="1"/>
    <col min="9" max="9" width="11.88671875" style="69" customWidth="1"/>
    <col min="10" max="10" width="14.44140625" style="69" customWidth="1"/>
    <col min="11" max="11" width="11.6640625" style="69" customWidth="1"/>
    <col min="12" max="12" width="13.6640625" style="69" customWidth="1"/>
    <col min="13" max="15" width="15.6640625" style="69" customWidth="1"/>
    <col min="16" max="16384" width="9.109375" style="69"/>
  </cols>
  <sheetData>
    <row r="1" spans="1:15" s="295" customFormat="1" x14ac:dyDescent="0.25">
      <c r="A1" s="317"/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9"/>
    </row>
    <row r="2" spans="1:15" s="128" customFormat="1" ht="69" x14ac:dyDescent="0.25">
      <c r="A2" s="8"/>
      <c r="B2" s="8" t="s">
        <v>0</v>
      </c>
      <c r="C2" s="8" t="s">
        <v>74</v>
      </c>
      <c r="D2" s="8" t="s">
        <v>60</v>
      </c>
      <c r="E2" s="32" t="s">
        <v>70</v>
      </c>
      <c r="F2" s="8" t="s">
        <v>72</v>
      </c>
      <c r="G2" s="8" t="s">
        <v>78</v>
      </c>
      <c r="H2" s="8" t="s">
        <v>61</v>
      </c>
      <c r="I2" s="8" t="s">
        <v>58</v>
      </c>
      <c r="J2" s="8" t="s">
        <v>59</v>
      </c>
      <c r="K2" s="8" t="s">
        <v>55</v>
      </c>
      <c r="L2" s="8" t="s">
        <v>56</v>
      </c>
      <c r="M2" s="8" t="s">
        <v>57</v>
      </c>
      <c r="N2" s="8" t="s">
        <v>62</v>
      </c>
      <c r="O2" s="8" t="s">
        <v>71</v>
      </c>
    </row>
    <row r="3" spans="1:15" s="295" customFormat="1" ht="41.4" x14ac:dyDescent="0.25">
      <c r="A3" s="318"/>
      <c r="B3" s="319" t="s">
        <v>13</v>
      </c>
      <c r="C3" s="318"/>
      <c r="D3" s="318"/>
      <c r="E3" s="318"/>
      <c r="F3" s="320">
        <f>'TOTAL '!C17</f>
        <v>1000000</v>
      </c>
      <c r="G3" s="320"/>
      <c r="H3" s="318"/>
      <c r="I3" s="318"/>
      <c r="J3" s="318"/>
      <c r="K3" s="318"/>
      <c r="L3" s="320"/>
      <c r="M3" s="320"/>
      <c r="N3" s="321" t="s">
        <v>15</v>
      </c>
      <c r="O3" s="321"/>
    </row>
    <row r="4" spans="1:15" ht="71.400000000000006" customHeight="1" x14ac:dyDescent="0.25">
      <c r="A4" s="11">
        <v>1</v>
      </c>
      <c r="B4" s="324" t="s">
        <v>39</v>
      </c>
      <c r="C4" s="11"/>
      <c r="D4" s="11" t="s">
        <v>75</v>
      </c>
      <c r="E4" s="11"/>
      <c r="F4" s="326">
        <v>230000</v>
      </c>
      <c r="G4" s="326"/>
      <c r="H4" s="11"/>
      <c r="I4" s="11"/>
      <c r="J4" s="11"/>
      <c r="K4" s="11"/>
      <c r="L4" s="322"/>
      <c r="M4" s="323"/>
      <c r="N4" s="11"/>
      <c r="O4" s="322">
        <v>0</v>
      </c>
    </row>
    <row r="5" spans="1:15" ht="55.2" x14ac:dyDescent="0.25">
      <c r="A5" s="11">
        <v>2</v>
      </c>
      <c r="B5" s="324" t="s">
        <v>53</v>
      </c>
      <c r="C5" s="11"/>
      <c r="D5" s="11" t="s">
        <v>75</v>
      </c>
      <c r="E5" s="11"/>
      <c r="F5" s="326">
        <v>65372</v>
      </c>
      <c r="G5" s="326"/>
      <c r="H5" s="11"/>
      <c r="I5" s="11"/>
      <c r="J5" s="11"/>
      <c r="K5" s="11"/>
      <c r="L5" s="322"/>
      <c r="M5" s="323"/>
      <c r="N5" s="11"/>
      <c r="O5" s="322">
        <v>0</v>
      </c>
    </row>
    <row r="6" spans="1:15" x14ac:dyDescent="0.25">
      <c r="A6" s="11">
        <v>3</v>
      </c>
      <c r="B6" s="324" t="s">
        <v>52</v>
      </c>
      <c r="C6" s="11"/>
      <c r="D6" s="11" t="s">
        <v>75</v>
      </c>
      <c r="E6" s="11"/>
      <c r="F6" s="327"/>
      <c r="G6" s="328"/>
      <c r="H6" s="11"/>
      <c r="I6" s="11"/>
      <c r="J6" s="11"/>
      <c r="K6" s="11"/>
      <c r="L6" s="322"/>
      <c r="M6" s="323"/>
      <c r="N6" s="11"/>
      <c r="O6" s="322">
        <v>0</v>
      </c>
    </row>
    <row r="7" spans="1:15" ht="31.95" customHeight="1" x14ac:dyDescent="0.25">
      <c r="A7" s="11"/>
      <c r="B7" s="325"/>
      <c r="C7" s="11"/>
      <c r="D7" s="11"/>
      <c r="E7" s="11"/>
      <c r="F7" s="329">
        <f>SUM(F4:F6)</f>
        <v>295372</v>
      </c>
      <c r="G7" s="330"/>
      <c r="H7" s="11"/>
      <c r="I7" s="11"/>
      <c r="J7" s="11"/>
      <c r="K7" s="11"/>
      <c r="L7" s="323"/>
      <c r="M7" s="323"/>
      <c r="N7" s="11"/>
      <c r="O7" s="331">
        <f>SUM(O4:O6)</f>
        <v>0</v>
      </c>
    </row>
    <row r="12" spans="1:15" x14ac:dyDescent="0.25">
      <c r="F12" s="332"/>
    </row>
    <row r="43" spans="8:10" x14ac:dyDescent="0.25">
      <c r="H43" s="333"/>
      <c r="I43" s="334"/>
      <c r="J43" s="333"/>
    </row>
    <row r="47" spans="8:10" x14ac:dyDescent="0.25">
      <c r="I47" s="335"/>
      <c r="J47" s="335"/>
    </row>
  </sheetData>
  <mergeCells count="1">
    <mergeCell ref="B1:O1"/>
  </mergeCells>
  <pageMargins left="0.7" right="0.7" top="0.75" bottom="0.75" header="0.3" footer="0.3"/>
  <pageSetup paperSize="9" scale="4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view="pageBreakPreview" topLeftCell="A4" zoomScaleNormal="100" zoomScaleSheetLayoutView="100" workbookViewId="0">
      <selection activeCell="C10" sqref="C10"/>
    </sheetView>
  </sheetViews>
  <sheetFormatPr defaultColWidth="9.109375" defaultRowHeight="88.5" customHeight="1" x14ac:dyDescent="0.25"/>
  <cols>
    <col min="1" max="1" width="2.6640625" style="7" customWidth="1"/>
    <col min="2" max="2" width="26.88671875" style="7" customWidth="1"/>
    <col min="3" max="3" width="20.44140625" style="295" customWidth="1"/>
    <col min="4" max="4" width="15.109375" style="7" customWidth="1"/>
    <col min="5" max="5" width="14" style="7" hidden="1" customWidth="1"/>
    <col min="6" max="6" width="20.5546875" style="7" customWidth="1"/>
    <col min="7" max="7" width="21.109375" style="7" customWidth="1"/>
    <col min="8" max="8" width="16.5546875" style="7" customWidth="1"/>
    <col min="9" max="9" width="14.44140625" style="7" bestFit="1" customWidth="1"/>
    <col min="10" max="10" width="13.33203125" style="7" bestFit="1" customWidth="1"/>
    <col min="11" max="11" width="17.6640625" style="7" customWidth="1"/>
    <col min="12" max="12" width="15.88671875" style="7" customWidth="1"/>
    <col min="13" max="13" width="11.44140625" style="7" customWidth="1"/>
    <col min="14" max="16384" width="9.109375" style="7"/>
  </cols>
  <sheetData>
    <row r="1" spans="1:13" s="295" customFormat="1" ht="67.5" customHeight="1" x14ac:dyDescent="0.25">
      <c r="A1" s="308"/>
      <c r="B1" s="70" t="s">
        <v>49</v>
      </c>
      <c r="C1" s="78" t="s">
        <v>0</v>
      </c>
      <c r="D1" s="78" t="s">
        <v>60</v>
      </c>
      <c r="E1" s="78" t="s">
        <v>72</v>
      </c>
      <c r="F1" s="78" t="s">
        <v>259</v>
      </c>
      <c r="G1" s="78" t="s">
        <v>213</v>
      </c>
      <c r="H1" s="78" t="s">
        <v>212</v>
      </c>
      <c r="I1" s="78" t="s">
        <v>58</v>
      </c>
      <c r="J1" s="78" t="s">
        <v>55</v>
      </c>
      <c r="K1" s="78" t="s">
        <v>56</v>
      </c>
      <c r="L1" s="78" t="s">
        <v>71</v>
      </c>
    </row>
    <row r="2" spans="1:13" s="295" customFormat="1" ht="39" customHeight="1" x14ac:dyDescent="0.25">
      <c r="B2" s="296"/>
      <c r="C2" s="296"/>
      <c r="D2" s="296"/>
      <c r="E2" s="309">
        <f>'TOTAL '!C21</f>
        <v>500000</v>
      </c>
      <c r="F2" s="309"/>
      <c r="G2" s="296"/>
      <c r="H2" s="296"/>
      <c r="I2" s="297"/>
      <c r="J2" s="296"/>
      <c r="K2" s="296"/>
      <c r="L2" s="296"/>
    </row>
    <row r="3" spans="1:13" s="295" customFormat="1" ht="69" x14ac:dyDescent="0.25">
      <c r="A3" s="298">
        <v>1</v>
      </c>
      <c r="B3" s="299" t="s">
        <v>4</v>
      </c>
      <c r="C3" s="299" t="s">
        <v>3</v>
      </c>
      <c r="D3" s="299" t="s">
        <v>51</v>
      </c>
      <c r="E3" s="310">
        <v>0</v>
      </c>
      <c r="F3" s="92" t="s">
        <v>204</v>
      </c>
      <c r="G3" s="41" t="s">
        <v>256</v>
      </c>
      <c r="H3" s="97" t="s">
        <v>203</v>
      </c>
      <c r="I3" s="300"/>
      <c r="J3" s="299"/>
      <c r="K3" s="91" t="s">
        <v>202</v>
      </c>
      <c r="L3" s="311">
        <v>6250</v>
      </c>
      <c r="M3" s="69"/>
    </row>
    <row r="4" spans="1:13" s="295" customFormat="1" ht="69" x14ac:dyDescent="0.25">
      <c r="A4" s="298">
        <v>2</v>
      </c>
      <c r="B4" s="299" t="s">
        <v>5</v>
      </c>
      <c r="C4" s="299" t="s">
        <v>3</v>
      </c>
      <c r="D4" s="299" t="s">
        <v>51</v>
      </c>
      <c r="E4" s="301">
        <v>0</v>
      </c>
      <c r="F4" s="92" t="s">
        <v>201</v>
      </c>
      <c r="G4" s="41" t="s">
        <v>257</v>
      </c>
      <c r="H4" s="97" t="s">
        <v>203</v>
      </c>
      <c r="I4" s="300"/>
      <c r="J4" s="299"/>
      <c r="K4" s="91" t="s">
        <v>202</v>
      </c>
      <c r="L4" s="312">
        <v>3125</v>
      </c>
      <c r="M4" s="69"/>
    </row>
    <row r="5" spans="1:13" s="295" customFormat="1" ht="41.4" x14ac:dyDescent="0.25">
      <c r="A5" s="298">
        <v>3</v>
      </c>
      <c r="B5" s="112" t="s">
        <v>334</v>
      </c>
      <c r="C5" s="299" t="s">
        <v>3</v>
      </c>
      <c r="D5" s="299" t="s">
        <v>51</v>
      </c>
      <c r="E5" s="301">
        <v>0</v>
      </c>
      <c r="F5" s="92" t="s">
        <v>335</v>
      </c>
      <c r="G5" s="299" t="s">
        <v>336</v>
      </c>
      <c r="H5" s="299" t="s">
        <v>293</v>
      </c>
      <c r="I5" s="300"/>
      <c r="J5" s="299"/>
      <c r="K5" s="299" t="s">
        <v>299</v>
      </c>
      <c r="L5" s="312">
        <v>90000</v>
      </c>
      <c r="M5" s="302" t="s">
        <v>440</v>
      </c>
    </row>
    <row r="6" spans="1:13" s="295" customFormat="1" ht="41.4" x14ac:dyDescent="0.25">
      <c r="A6" s="298">
        <v>4</v>
      </c>
      <c r="B6" s="112" t="s">
        <v>330</v>
      </c>
      <c r="C6" s="299" t="s">
        <v>3</v>
      </c>
      <c r="D6" s="299" t="s">
        <v>51</v>
      </c>
      <c r="E6" s="301">
        <v>0</v>
      </c>
      <c r="F6" s="112" t="s">
        <v>329</v>
      </c>
      <c r="G6" s="112" t="s">
        <v>333</v>
      </c>
      <c r="H6" s="299" t="s">
        <v>331</v>
      </c>
      <c r="I6" s="300"/>
      <c r="J6" s="299"/>
      <c r="K6" s="299" t="s">
        <v>332</v>
      </c>
      <c r="L6" s="312">
        <v>47200</v>
      </c>
    </row>
    <row r="7" spans="1:13" s="295" customFormat="1" ht="13.8" x14ac:dyDescent="0.25">
      <c r="A7" s="303">
        <v>5</v>
      </c>
      <c r="B7" s="99" t="s">
        <v>476</v>
      </c>
      <c r="C7" s="303" t="s">
        <v>3</v>
      </c>
      <c r="D7" s="303" t="s">
        <v>477</v>
      </c>
      <c r="E7" s="304"/>
      <c r="F7" s="99" t="s">
        <v>459</v>
      </c>
      <c r="G7" s="99" t="s">
        <v>418</v>
      </c>
      <c r="H7" s="303"/>
      <c r="I7" s="305"/>
      <c r="J7" s="303"/>
      <c r="K7" s="303"/>
      <c r="L7" s="313">
        <v>50000</v>
      </c>
    </row>
    <row r="8" spans="1:13" s="295" customFormat="1" ht="32.4" customHeight="1" x14ac:dyDescent="0.25">
      <c r="A8" s="303">
        <v>6</v>
      </c>
      <c r="B8" s="99" t="s">
        <v>475</v>
      </c>
      <c r="C8" s="303" t="s">
        <v>3</v>
      </c>
      <c r="D8" s="303" t="s">
        <v>420</v>
      </c>
      <c r="E8" s="304"/>
      <c r="F8" s="99" t="s">
        <v>459</v>
      </c>
      <c r="G8" s="99" t="s">
        <v>419</v>
      </c>
      <c r="H8" s="303"/>
      <c r="I8" s="305"/>
      <c r="J8" s="303"/>
      <c r="K8" s="303"/>
      <c r="L8" s="313">
        <v>50000</v>
      </c>
    </row>
    <row r="9" spans="1:13" ht="33.6" customHeight="1" x14ac:dyDescent="0.25">
      <c r="B9" s="306" t="s">
        <v>29</v>
      </c>
      <c r="C9" s="299"/>
      <c r="D9" s="306"/>
      <c r="E9" s="314">
        <f>E3+E4+E5</f>
        <v>0</v>
      </c>
      <c r="F9" s="301"/>
      <c r="G9" s="306"/>
      <c r="H9" s="306"/>
      <c r="I9" s="315"/>
      <c r="J9" s="306"/>
      <c r="K9" s="306"/>
      <c r="L9" s="316">
        <f>SUM(L3:L8)</f>
        <v>246575</v>
      </c>
      <c r="M9" s="307"/>
    </row>
  </sheetData>
  <pageMargins left="0.7" right="0.7" top="0.75" bottom="0.75" header="0.3" footer="0.3"/>
  <pageSetup paperSize="9" scale="3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view="pageBreakPreview" topLeftCell="B1" zoomScale="81" zoomScaleNormal="41" zoomScaleSheetLayoutView="81" workbookViewId="0">
      <selection activeCell="F16" sqref="F16"/>
    </sheetView>
  </sheetViews>
  <sheetFormatPr defaultColWidth="9.109375" defaultRowHeight="13.8" x14ac:dyDescent="0.25"/>
  <cols>
    <col min="1" max="1" width="25" style="18" customWidth="1"/>
    <col min="2" max="2" width="29.109375" style="1" customWidth="1"/>
    <col min="3" max="3" width="0.109375" style="2" hidden="1" customWidth="1"/>
    <col min="4" max="4" width="23.88671875" style="2" customWidth="1"/>
    <col min="5" max="5" width="17.21875" style="2" customWidth="1"/>
    <col min="6" max="6" width="26.88671875" style="2" customWidth="1"/>
    <col min="7" max="8" width="30.33203125" style="2" customWidth="1"/>
    <col min="9" max="9" width="25.6640625" style="2" customWidth="1"/>
    <col min="10" max="10" width="22.33203125" style="2" customWidth="1"/>
    <col min="11" max="11" width="22.6640625" style="2" customWidth="1"/>
    <col min="12" max="12" width="26" style="2" bestFit="1" customWidth="1"/>
    <col min="13" max="16384" width="9.109375" style="2"/>
  </cols>
  <sheetData>
    <row r="1" spans="1:12" s="1" customFormat="1" ht="101.25" customHeight="1" x14ac:dyDescent="0.3">
      <c r="A1" s="20"/>
      <c r="B1" s="3" t="s">
        <v>0</v>
      </c>
      <c r="C1" s="3" t="s">
        <v>74</v>
      </c>
      <c r="D1" s="3" t="s">
        <v>60</v>
      </c>
      <c r="E1" s="3" t="s">
        <v>72</v>
      </c>
      <c r="F1" s="3" t="s">
        <v>77</v>
      </c>
      <c r="G1" s="3" t="s">
        <v>213</v>
      </c>
      <c r="H1" s="72" t="s">
        <v>212</v>
      </c>
      <c r="I1" s="3" t="s">
        <v>389</v>
      </c>
      <c r="J1" s="3" t="s">
        <v>55</v>
      </c>
      <c r="K1" s="3" t="s">
        <v>390</v>
      </c>
      <c r="L1" s="3" t="s">
        <v>71</v>
      </c>
    </row>
    <row r="2" spans="1:12" s="1" customFormat="1" x14ac:dyDescent="0.3">
      <c r="A2" s="21" t="s">
        <v>46</v>
      </c>
      <c r="B2" s="17"/>
      <c r="C2" s="17"/>
      <c r="D2" s="17"/>
      <c r="E2" s="25">
        <f>'TOTAL '!C28</f>
        <v>300000</v>
      </c>
      <c r="F2" s="17"/>
      <c r="G2" s="17"/>
      <c r="H2" s="73"/>
      <c r="I2" s="17"/>
      <c r="J2" s="17"/>
      <c r="K2" s="17"/>
      <c r="L2" s="17"/>
    </row>
    <row r="3" spans="1:12" s="1" customFormat="1" ht="27.6" x14ac:dyDescent="0.3">
      <c r="A3" s="22" t="s">
        <v>6</v>
      </c>
      <c r="B3" s="68" t="s">
        <v>17</v>
      </c>
      <c r="C3" s="5"/>
      <c r="D3" s="68" t="s">
        <v>51</v>
      </c>
      <c r="E3" s="23"/>
      <c r="F3" s="66" t="s">
        <v>223</v>
      </c>
      <c r="G3" s="66" t="s">
        <v>205</v>
      </c>
      <c r="H3" s="66" t="s">
        <v>214</v>
      </c>
      <c r="I3" s="66" t="s">
        <v>218</v>
      </c>
      <c r="J3" s="5"/>
      <c r="K3" s="5"/>
      <c r="L3" s="127">
        <f>72000/2</f>
        <v>36000</v>
      </c>
    </row>
    <row r="4" spans="1:12" s="1" customFormat="1" ht="27.6" x14ac:dyDescent="0.3">
      <c r="A4" s="22" t="s">
        <v>10</v>
      </c>
      <c r="B4" s="68" t="s">
        <v>230</v>
      </c>
      <c r="C4" s="5"/>
      <c r="D4" s="68" t="s">
        <v>51</v>
      </c>
      <c r="E4" s="23"/>
      <c r="F4" s="66" t="s">
        <v>224</v>
      </c>
      <c r="G4" s="66" t="s">
        <v>206</v>
      </c>
      <c r="H4" s="66" t="s">
        <v>214</v>
      </c>
      <c r="I4" s="66" t="s">
        <v>219</v>
      </c>
      <c r="J4" s="5"/>
      <c r="K4" s="5"/>
      <c r="L4" s="127">
        <f>38400/2</f>
        <v>19200</v>
      </c>
    </row>
    <row r="5" spans="1:12" s="1" customFormat="1" ht="27.6" x14ac:dyDescent="0.3">
      <c r="A5" s="22" t="s">
        <v>9</v>
      </c>
      <c r="B5" s="68" t="s">
        <v>41</v>
      </c>
      <c r="C5" s="5"/>
      <c r="D5" s="68" t="s">
        <v>51</v>
      </c>
      <c r="E5" s="23"/>
      <c r="F5" s="66" t="s">
        <v>225</v>
      </c>
      <c r="G5" s="66" t="s">
        <v>207</v>
      </c>
      <c r="H5" s="66" t="s">
        <v>215</v>
      </c>
      <c r="I5" s="66" t="s">
        <v>220</v>
      </c>
      <c r="J5" s="5"/>
      <c r="K5" s="5"/>
      <c r="L5" s="127">
        <f>60000/2</f>
        <v>30000</v>
      </c>
    </row>
    <row r="6" spans="1:12" s="1" customFormat="1" ht="41.4" x14ac:dyDescent="0.3">
      <c r="A6" s="22" t="s">
        <v>18</v>
      </c>
      <c r="B6" s="68" t="s">
        <v>231</v>
      </c>
      <c r="C6" s="5"/>
      <c r="D6" s="68" t="s">
        <v>51</v>
      </c>
      <c r="E6" s="23"/>
      <c r="F6" s="66" t="s">
        <v>226</v>
      </c>
      <c r="G6" s="66" t="s">
        <v>208</v>
      </c>
      <c r="H6" s="66" t="s">
        <v>216</v>
      </c>
      <c r="I6" s="66" t="s">
        <v>221</v>
      </c>
      <c r="J6" s="5"/>
      <c r="K6" s="5"/>
      <c r="L6" s="127">
        <f>38400/2</f>
        <v>19200</v>
      </c>
    </row>
    <row r="7" spans="1:12" s="1" customFormat="1" ht="27.6" x14ac:dyDescent="0.3">
      <c r="A7" s="22" t="s">
        <v>8</v>
      </c>
      <c r="B7" s="68" t="s">
        <v>42</v>
      </c>
      <c r="C7" s="5"/>
      <c r="D7" s="68" t="s">
        <v>51</v>
      </c>
      <c r="E7" s="23"/>
      <c r="F7" s="66" t="s">
        <v>227</v>
      </c>
      <c r="G7" s="66" t="s">
        <v>209</v>
      </c>
      <c r="H7" s="66" t="s">
        <v>214</v>
      </c>
      <c r="I7" s="66" t="s">
        <v>218</v>
      </c>
      <c r="J7" s="5"/>
      <c r="K7" s="5"/>
      <c r="L7" s="127">
        <f>60000/2</f>
        <v>30000</v>
      </c>
    </row>
    <row r="8" spans="1:12" s="1" customFormat="1" ht="27.6" x14ac:dyDescent="0.3">
      <c r="A8" s="22" t="s">
        <v>7</v>
      </c>
      <c r="B8" s="68" t="s">
        <v>43</v>
      </c>
      <c r="C8" s="5"/>
      <c r="D8" s="68" t="s">
        <v>51</v>
      </c>
      <c r="E8" s="23"/>
      <c r="F8" s="66" t="s">
        <v>228</v>
      </c>
      <c r="G8" s="66" t="s">
        <v>210</v>
      </c>
      <c r="H8" s="66" t="s">
        <v>214</v>
      </c>
      <c r="I8" s="66" t="s">
        <v>218</v>
      </c>
      <c r="J8" s="5"/>
      <c r="K8" s="5"/>
      <c r="L8" s="127">
        <f>52800/2</f>
        <v>26400</v>
      </c>
    </row>
    <row r="9" spans="1:12" s="1" customFormat="1" ht="42.6" customHeight="1" x14ac:dyDescent="0.25">
      <c r="A9" s="5" t="s">
        <v>79</v>
      </c>
      <c r="B9" s="68" t="s">
        <v>80</v>
      </c>
      <c r="C9" s="5"/>
      <c r="D9" s="68" t="s">
        <v>51</v>
      </c>
      <c r="E9" s="23"/>
      <c r="F9" s="66" t="s">
        <v>229</v>
      </c>
      <c r="G9" s="66" t="s">
        <v>211</v>
      </c>
      <c r="H9" s="66" t="s">
        <v>217</v>
      </c>
      <c r="I9" s="66" t="s">
        <v>222</v>
      </c>
      <c r="J9" s="3" t="s">
        <v>392</v>
      </c>
      <c r="K9" s="127" t="s">
        <v>391</v>
      </c>
      <c r="L9" s="127">
        <v>1000</v>
      </c>
    </row>
    <row r="10" spans="1:12" s="1" customFormat="1" ht="33.6" customHeight="1" x14ac:dyDescent="0.25">
      <c r="A10" s="71"/>
      <c r="B10" s="68" t="s">
        <v>433</v>
      </c>
      <c r="C10" s="68"/>
      <c r="D10" s="68" t="s">
        <v>51</v>
      </c>
      <c r="E10" s="68"/>
      <c r="F10" s="68" t="s">
        <v>388</v>
      </c>
      <c r="G10" s="68" t="s">
        <v>401</v>
      </c>
      <c r="H10" s="68" t="s">
        <v>387</v>
      </c>
      <c r="I10" s="68" t="s">
        <v>439</v>
      </c>
      <c r="J10" s="68"/>
      <c r="K10" s="68"/>
      <c r="L10" s="68">
        <f>3957/3.25</f>
        <v>1217.5384615384614</v>
      </c>
    </row>
    <row r="11" spans="1:12" s="1" customFormat="1" ht="33.6" customHeight="1" x14ac:dyDescent="0.25">
      <c r="A11" s="71"/>
      <c r="B11" s="68" t="s">
        <v>434</v>
      </c>
      <c r="C11" s="68"/>
      <c r="D11" s="68" t="s">
        <v>51</v>
      </c>
      <c r="E11" s="68"/>
      <c r="F11" s="68" t="s">
        <v>435</v>
      </c>
      <c r="G11" s="68" t="s">
        <v>421</v>
      </c>
      <c r="H11" s="68" t="s">
        <v>432</v>
      </c>
      <c r="I11" s="68" t="s">
        <v>438</v>
      </c>
      <c r="J11" s="68"/>
      <c r="K11" s="68"/>
      <c r="L11" s="68">
        <v>4587.2962475916702</v>
      </c>
    </row>
    <row r="12" spans="1:12" ht="44.4" customHeight="1" x14ac:dyDescent="0.25">
      <c r="A12" s="24"/>
      <c r="B12" s="5"/>
      <c r="C12" s="4"/>
      <c r="D12" s="4"/>
      <c r="E12" s="26">
        <f>SUM(E9)</f>
        <v>0</v>
      </c>
      <c r="F12" s="4"/>
      <c r="G12" s="3"/>
      <c r="H12" s="72"/>
      <c r="I12" s="3"/>
      <c r="J12" s="4"/>
      <c r="K12" s="4"/>
      <c r="L12" s="399">
        <f>SUM(L3:L11)</f>
        <v>167604.83470913014</v>
      </c>
    </row>
  </sheetData>
  <pageMargins left="0.7" right="0.7" top="0.75" bottom="0.75" header="0.3" footer="0.3"/>
  <pageSetup scale="3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55"/>
  <sheetViews>
    <sheetView view="pageBreakPreview" topLeftCell="A40" zoomScale="55" zoomScaleNormal="70" zoomScaleSheetLayoutView="55" workbookViewId="0">
      <selection activeCell="E52" sqref="E52"/>
    </sheetView>
  </sheetViews>
  <sheetFormatPr defaultColWidth="9.109375" defaultRowHeight="76.8" customHeight="1" x14ac:dyDescent="0.25"/>
  <cols>
    <col min="1" max="1" width="9.44140625" style="13" customWidth="1"/>
    <col min="2" max="2" width="38.5546875" style="67" customWidth="1"/>
    <col min="3" max="3" width="25" style="90" customWidth="1"/>
    <col min="4" max="4" width="23.5546875" style="106" customWidth="1"/>
    <col min="5" max="5" width="29.33203125" style="102" customWidth="1"/>
    <col min="6" max="6" width="23" style="9" customWidth="1"/>
    <col min="7" max="7" width="19.88671875" style="9" customWidth="1"/>
    <col min="8" max="8" width="25.44140625" style="102" customWidth="1"/>
    <col min="9" max="9" width="16.88671875" style="9" customWidth="1"/>
    <col min="10" max="10" width="32.109375" style="102" customWidth="1"/>
    <col min="11" max="11" width="27.6640625" style="270" customWidth="1"/>
    <col min="12" max="12" width="20.44140625" style="9" customWidth="1"/>
    <col min="13" max="13" width="22.5546875" style="9" customWidth="1"/>
    <col min="14" max="14" width="31.5546875" style="9" customWidth="1"/>
    <col min="15" max="15" width="22.5546875" style="9" customWidth="1"/>
    <col min="16" max="16" width="34.88671875" style="9" customWidth="1"/>
    <col min="17" max="17" width="22" style="9" customWidth="1"/>
    <col min="18" max="18" width="21.88671875" style="9" customWidth="1"/>
    <col min="19" max="19" width="23" style="9" customWidth="1"/>
    <col min="20" max="20" width="9.109375" style="9"/>
    <col min="21" max="21" width="13.6640625" style="9" customWidth="1"/>
    <col min="22" max="16384" width="9.109375" style="9"/>
  </cols>
  <sheetData>
    <row r="1" spans="1:16" s="67" customFormat="1" ht="76.8" customHeight="1" x14ac:dyDescent="0.2">
      <c r="A1" s="356" t="s">
        <v>19</v>
      </c>
      <c r="B1" s="74" t="s">
        <v>0</v>
      </c>
      <c r="C1" s="74" t="s">
        <v>60</v>
      </c>
      <c r="D1" s="74" t="s">
        <v>113</v>
      </c>
      <c r="E1" s="74" t="s">
        <v>271</v>
      </c>
      <c r="F1" s="74" t="s">
        <v>232</v>
      </c>
      <c r="G1" s="74" t="s">
        <v>275</v>
      </c>
      <c r="H1" s="74" t="s">
        <v>58</v>
      </c>
      <c r="I1" s="74" t="s">
        <v>59</v>
      </c>
      <c r="J1" s="74" t="s">
        <v>56</v>
      </c>
      <c r="K1" s="265" t="s">
        <v>57</v>
      </c>
      <c r="L1" s="74" t="s">
        <v>127</v>
      </c>
      <c r="M1" s="74" t="s">
        <v>62</v>
      </c>
      <c r="N1" s="74" t="s">
        <v>356</v>
      </c>
      <c r="O1" s="74" t="s">
        <v>355</v>
      </c>
    </row>
    <row r="2" spans="1:16" s="67" customFormat="1" ht="76.8" customHeight="1" x14ac:dyDescent="0.25">
      <c r="A2" s="357">
        <v>1</v>
      </c>
      <c r="B2" s="68" t="s">
        <v>17</v>
      </c>
      <c r="C2" s="68"/>
      <c r="D2" s="107" t="s">
        <v>223</v>
      </c>
      <c r="E2" s="103" t="s">
        <v>205</v>
      </c>
      <c r="F2" s="66" t="s">
        <v>214</v>
      </c>
      <c r="G2" s="94"/>
      <c r="H2" s="103" t="s">
        <v>233</v>
      </c>
      <c r="I2" s="40" t="s">
        <v>379</v>
      </c>
      <c r="J2" s="103" t="s">
        <v>218</v>
      </c>
      <c r="K2" s="29" t="s">
        <v>380</v>
      </c>
      <c r="L2" s="66"/>
      <c r="M2" s="66"/>
      <c r="N2" s="126">
        <f>72000/2</f>
        <v>36000</v>
      </c>
      <c r="O2" s="78"/>
    </row>
    <row r="3" spans="1:16" s="67" customFormat="1" ht="76.8" customHeight="1" x14ac:dyDescent="0.25">
      <c r="A3" s="357">
        <v>2</v>
      </c>
      <c r="B3" s="68" t="s">
        <v>230</v>
      </c>
      <c r="C3" s="68"/>
      <c r="D3" s="107" t="s">
        <v>224</v>
      </c>
      <c r="E3" s="103" t="s">
        <v>206</v>
      </c>
      <c r="F3" s="66" t="s">
        <v>214</v>
      </c>
      <c r="G3" s="94"/>
      <c r="H3" s="103" t="s">
        <v>233</v>
      </c>
      <c r="I3" s="40" t="s">
        <v>379</v>
      </c>
      <c r="J3" s="103" t="s">
        <v>219</v>
      </c>
      <c r="K3" s="29" t="s">
        <v>380</v>
      </c>
      <c r="L3" s="66"/>
      <c r="M3" s="66"/>
      <c r="N3" s="126">
        <f>38400/2</f>
        <v>19200</v>
      </c>
      <c r="O3" s="78"/>
    </row>
    <row r="4" spans="1:16" s="67" customFormat="1" ht="76.8" customHeight="1" x14ac:dyDescent="0.25">
      <c r="A4" s="357">
        <v>3</v>
      </c>
      <c r="B4" s="68" t="s">
        <v>41</v>
      </c>
      <c r="C4" s="68"/>
      <c r="D4" s="107" t="s">
        <v>225</v>
      </c>
      <c r="E4" s="103" t="s">
        <v>207</v>
      </c>
      <c r="F4" s="66" t="s">
        <v>215</v>
      </c>
      <c r="G4" s="94"/>
      <c r="H4" s="103" t="s">
        <v>233</v>
      </c>
      <c r="I4" s="40" t="s">
        <v>379</v>
      </c>
      <c r="J4" s="103" t="s">
        <v>220</v>
      </c>
      <c r="K4" s="29" t="s">
        <v>380</v>
      </c>
      <c r="L4" s="66"/>
      <c r="M4" s="66"/>
      <c r="N4" s="126">
        <f>60000/2</f>
        <v>30000</v>
      </c>
      <c r="O4" s="78"/>
    </row>
    <row r="5" spans="1:16" s="67" customFormat="1" ht="76.8" customHeight="1" x14ac:dyDescent="0.25">
      <c r="A5" s="357">
        <v>4</v>
      </c>
      <c r="B5" s="68" t="s">
        <v>231</v>
      </c>
      <c r="C5" s="68"/>
      <c r="D5" s="107" t="s">
        <v>226</v>
      </c>
      <c r="E5" s="103" t="s">
        <v>208</v>
      </c>
      <c r="F5" s="66" t="s">
        <v>216</v>
      </c>
      <c r="G5" s="94"/>
      <c r="H5" s="103" t="s">
        <v>233</v>
      </c>
      <c r="I5" s="40" t="s">
        <v>379</v>
      </c>
      <c r="J5" s="103" t="s">
        <v>221</v>
      </c>
      <c r="K5" s="29" t="s">
        <v>380</v>
      </c>
      <c r="L5" s="66"/>
      <c r="M5" s="66"/>
      <c r="N5" s="126">
        <f>38400/2</f>
        <v>19200</v>
      </c>
      <c r="O5" s="78"/>
    </row>
    <row r="6" spans="1:16" s="67" customFormat="1" ht="76.8" customHeight="1" x14ac:dyDescent="0.25">
      <c r="A6" s="357">
        <v>5</v>
      </c>
      <c r="B6" s="68" t="s">
        <v>42</v>
      </c>
      <c r="C6" s="68"/>
      <c r="D6" s="107" t="s">
        <v>227</v>
      </c>
      <c r="E6" s="103" t="s">
        <v>209</v>
      </c>
      <c r="F6" s="66" t="s">
        <v>214</v>
      </c>
      <c r="G6" s="94"/>
      <c r="H6" s="103" t="s">
        <v>233</v>
      </c>
      <c r="I6" s="40" t="s">
        <v>379</v>
      </c>
      <c r="J6" s="103" t="s">
        <v>218</v>
      </c>
      <c r="K6" s="29" t="s">
        <v>380</v>
      </c>
      <c r="L6" s="66"/>
      <c r="M6" s="66"/>
      <c r="N6" s="126">
        <f>60000/2</f>
        <v>30000</v>
      </c>
      <c r="O6" s="78"/>
    </row>
    <row r="7" spans="1:16" s="67" customFormat="1" ht="76.8" customHeight="1" x14ac:dyDescent="0.25">
      <c r="A7" s="357">
        <v>6</v>
      </c>
      <c r="B7" s="68" t="s">
        <v>43</v>
      </c>
      <c r="C7" s="68"/>
      <c r="D7" s="107" t="s">
        <v>228</v>
      </c>
      <c r="E7" s="103" t="s">
        <v>210</v>
      </c>
      <c r="F7" s="66" t="s">
        <v>214</v>
      </c>
      <c r="G7" s="94"/>
      <c r="H7" s="103" t="s">
        <v>233</v>
      </c>
      <c r="I7" s="40" t="s">
        <v>379</v>
      </c>
      <c r="J7" s="103" t="s">
        <v>218</v>
      </c>
      <c r="K7" s="29" t="s">
        <v>380</v>
      </c>
      <c r="L7" s="66"/>
      <c r="M7" s="66"/>
      <c r="N7" s="126">
        <f>52800/2</f>
        <v>26400</v>
      </c>
      <c r="O7" s="78"/>
    </row>
    <row r="8" spans="1:16" s="67" customFormat="1" ht="76.8" customHeight="1" x14ac:dyDescent="0.25">
      <c r="A8" s="357">
        <v>7</v>
      </c>
      <c r="B8" s="68" t="s">
        <v>80</v>
      </c>
      <c r="C8" s="68"/>
      <c r="D8" s="107" t="s">
        <v>343</v>
      </c>
      <c r="E8" s="103" t="s">
        <v>211</v>
      </c>
      <c r="F8" s="66" t="s">
        <v>217</v>
      </c>
      <c r="G8" s="94"/>
      <c r="H8" s="103" t="s">
        <v>233</v>
      </c>
      <c r="I8" s="40" t="s">
        <v>379</v>
      </c>
      <c r="J8" s="103" t="s">
        <v>342</v>
      </c>
      <c r="K8" s="29" t="s">
        <v>380</v>
      </c>
      <c r="L8" s="66"/>
      <c r="M8" s="66"/>
      <c r="N8" s="126">
        <v>1000</v>
      </c>
      <c r="O8" s="78"/>
    </row>
    <row r="9" spans="1:16" ht="76.8" customHeight="1" thickBot="1" x14ac:dyDescent="0.3">
      <c r="A9" s="357">
        <v>8</v>
      </c>
      <c r="B9" s="68" t="s">
        <v>50</v>
      </c>
      <c r="C9" s="68" t="s">
        <v>344</v>
      </c>
      <c r="D9" s="107" t="s">
        <v>63</v>
      </c>
      <c r="E9" s="103" t="s">
        <v>234</v>
      </c>
      <c r="F9" s="66" t="s">
        <v>235</v>
      </c>
      <c r="G9" s="94"/>
      <c r="H9" s="103" t="s">
        <v>65</v>
      </c>
      <c r="I9" s="30" t="s">
        <v>66</v>
      </c>
      <c r="J9" s="103" t="s">
        <v>82</v>
      </c>
      <c r="K9" s="31">
        <v>54000</v>
      </c>
      <c r="L9" s="117" t="s">
        <v>93</v>
      </c>
      <c r="M9" s="30">
        <v>3.33</v>
      </c>
      <c r="N9" s="126">
        <f>K9*M9</f>
        <v>179820</v>
      </c>
      <c r="O9" s="93"/>
    </row>
    <row r="10" spans="1:16" s="67" customFormat="1" ht="76.8" customHeight="1" x14ac:dyDescent="0.25">
      <c r="A10" s="357">
        <v>9</v>
      </c>
      <c r="B10" s="354" t="s">
        <v>99</v>
      </c>
      <c r="C10" s="68" t="s">
        <v>51</v>
      </c>
      <c r="D10" s="355" t="s">
        <v>370</v>
      </c>
      <c r="E10" s="77" t="s">
        <v>237</v>
      </c>
      <c r="F10" s="77" t="s">
        <v>266</v>
      </c>
      <c r="G10" s="77"/>
      <c r="H10" s="77" t="s">
        <v>102</v>
      </c>
      <c r="I10" s="66" t="s">
        <v>66</v>
      </c>
      <c r="J10" s="78" t="s">
        <v>238</v>
      </c>
      <c r="K10" s="31">
        <f>97000+100000</f>
        <v>197000</v>
      </c>
      <c r="L10" s="66" t="s">
        <v>93</v>
      </c>
      <c r="M10" s="68">
        <f>N10/K10</f>
        <v>5.2</v>
      </c>
      <c r="N10" s="126">
        <f>504400+520000</f>
        <v>1024400</v>
      </c>
      <c r="O10" s="78"/>
      <c r="P10" s="340"/>
    </row>
    <row r="11" spans="1:16" ht="76.8" customHeight="1" x14ac:dyDescent="0.25">
      <c r="A11" s="357">
        <v>10</v>
      </c>
      <c r="B11" s="33" t="s">
        <v>16</v>
      </c>
      <c r="C11" s="68" t="s">
        <v>51</v>
      </c>
      <c r="D11" s="68" t="s">
        <v>371</v>
      </c>
      <c r="E11" s="75" t="s">
        <v>236</v>
      </c>
      <c r="F11" s="75" t="s">
        <v>265</v>
      </c>
      <c r="G11" s="75"/>
      <c r="H11" s="76" t="s">
        <v>129</v>
      </c>
      <c r="I11" s="66" t="s">
        <v>159</v>
      </c>
      <c r="J11" s="103" t="s">
        <v>130</v>
      </c>
      <c r="K11" s="31">
        <v>30</v>
      </c>
      <c r="L11" s="117" t="s">
        <v>93</v>
      </c>
      <c r="M11" s="68">
        <v>13447.92</v>
      </c>
      <c r="N11" s="126">
        <f>K11*M11</f>
        <v>403437.6</v>
      </c>
      <c r="O11" s="93"/>
    </row>
    <row r="12" spans="1:16" ht="76.8" customHeight="1" x14ac:dyDescent="0.25">
      <c r="A12" s="357">
        <v>11</v>
      </c>
      <c r="B12" s="39" t="s">
        <v>273</v>
      </c>
      <c r="C12" s="68" t="s">
        <v>51</v>
      </c>
      <c r="D12" s="47" t="s">
        <v>373</v>
      </c>
      <c r="E12" s="85" t="s">
        <v>426</v>
      </c>
      <c r="F12" s="85" t="s">
        <v>245</v>
      </c>
      <c r="G12" s="75"/>
      <c r="H12" s="82" t="s">
        <v>133</v>
      </c>
      <c r="I12" s="39" t="s">
        <v>195</v>
      </c>
      <c r="J12" s="39" t="s">
        <v>136</v>
      </c>
      <c r="K12" s="266">
        <v>20</v>
      </c>
      <c r="L12" s="39" t="s">
        <v>93</v>
      </c>
      <c r="M12" s="39"/>
      <c r="N12" s="126">
        <v>313476</v>
      </c>
      <c r="O12" s="93"/>
    </row>
    <row r="13" spans="1:16" s="67" customFormat="1" ht="76.8" customHeight="1" x14ac:dyDescent="0.25">
      <c r="A13" s="357">
        <v>12</v>
      </c>
      <c r="B13" s="16" t="s">
        <v>100</v>
      </c>
      <c r="C13" s="68" t="s">
        <v>51</v>
      </c>
      <c r="D13" s="47" t="s">
        <v>92</v>
      </c>
      <c r="E13" s="79" t="s">
        <v>103</v>
      </c>
      <c r="F13" s="80" t="s">
        <v>267</v>
      </c>
      <c r="G13" s="77"/>
      <c r="H13" s="80" t="s">
        <v>117</v>
      </c>
      <c r="I13" s="39" t="s">
        <v>66</v>
      </c>
      <c r="J13" s="39" t="s">
        <v>93</v>
      </c>
      <c r="K13" s="266">
        <v>50000</v>
      </c>
      <c r="L13" s="39" t="s">
        <v>93</v>
      </c>
      <c r="M13" s="39">
        <f>N13/K13</f>
        <v>12.244</v>
      </c>
      <c r="N13" s="126">
        <v>612200</v>
      </c>
      <c r="O13" s="78"/>
    </row>
    <row r="14" spans="1:16" s="114" customFormat="1" ht="76.8" customHeight="1" x14ac:dyDescent="0.25">
      <c r="A14" s="357">
        <v>13</v>
      </c>
      <c r="B14" s="115" t="s">
        <v>347</v>
      </c>
      <c r="C14" s="68" t="s">
        <v>51</v>
      </c>
      <c r="D14" s="47" t="s">
        <v>161</v>
      </c>
      <c r="E14" s="80" t="s">
        <v>243</v>
      </c>
      <c r="F14" s="80" t="s">
        <v>269</v>
      </c>
      <c r="G14" s="77"/>
      <c r="H14" s="47" t="s">
        <v>162</v>
      </c>
      <c r="I14" s="47" t="s">
        <v>66</v>
      </c>
      <c r="J14" s="47" t="s">
        <v>264</v>
      </c>
      <c r="K14" s="268">
        <v>1</v>
      </c>
      <c r="L14" s="38"/>
      <c r="M14" s="38"/>
      <c r="N14" s="123">
        <v>440000</v>
      </c>
      <c r="O14" s="126">
        <f>N14*1.22</f>
        <v>536800</v>
      </c>
    </row>
    <row r="15" spans="1:16" s="120" customFormat="1" ht="76.8" customHeight="1" x14ac:dyDescent="0.25">
      <c r="A15" s="357">
        <v>14</v>
      </c>
      <c r="B15" s="115" t="s">
        <v>274</v>
      </c>
      <c r="C15" s="68" t="s">
        <v>51</v>
      </c>
      <c r="D15" s="80" t="s">
        <v>369</v>
      </c>
      <c r="E15" s="81" t="s">
        <v>239</v>
      </c>
      <c r="F15" s="81" t="s">
        <v>261</v>
      </c>
      <c r="G15" s="95"/>
      <c r="H15" s="80" t="s">
        <v>120</v>
      </c>
      <c r="I15" s="47" t="s">
        <v>195</v>
      </c>
      <c r="J15" s="47" t="s">
        <v>93</v>
      </c>
      <c r="K15" s="267">
        <f>250*250</f>
        <v>62500</v>
      </c>
      <c r="L15" s="47" t="s">
        <v>93</v>
      </c>
      <c r="M15" s="38"/>
      <c r="N15" s="125">
        <v>1050000</v>
      </c>
      <c r="O15" s="126">
        <f>N15/3.0651</f>
        <v>342566.31105021044</v>
      </c>
    </row>
    <row r="16" spans="1:16" s="67" customFormat="1" ht="76.8" customHeight="1" x14ac:dyDescent="0.25">
      <c r="A16" s="357">
        <v>15</v>
      </c>
      <c r="B16" s="115" t="s">
        <v>345</v>
      </c>
      <c r="C16" s="68" t="s">
        <v>51</v>
      </c>
      <c r="D16" s="47" t="s">
        <v>368</v>
      </c>
      <c r="E16" s="80" t="s">
        <v>240</v>
      </c>
      <c r="F16" s="81" t="s">
        <v>261</v>
      </c>
      <c r="G16" s="95"/>
      <c r="H16" s="82" t="s">
        <v>105</v>
      </c>
      <c r="I16" s="39" t="s">
        <v>195</v>
      </c>
      <c r="J16" s="39" t="s">
        <v>112</v>
      </c>
      <c r="K16" s="266">
        <v>250000</v>
      </c>
      <c r="L16" s="39" t="s">
        <v>93</v>
      </c>
      <c r="M16" s="39"/>
      <c r="N16" s="126">
        <v>5685100</v>
      </c>
      <c r="O16" s="78"/>
    </row>
    <row r="17" spans="1:17" ht="76.8" customHeight="1" x14ac:dyDescent="0.25">
      <c r="A17" s="357">
        <v>16</v>
      </c>
      <c r="B17" s="96" t="s">
        <v>364</v>
      </c>
      <c r="C17" s="68" t="s">
        <v>51</v>
      </c>
      <c r="D17" s="78" t="s">
        <v>366</v>
      </c>
      <c r="E17" s="78" t="s">
        <v>296</v>
      </c>
      <c r="F17" s="93" t="s">
        <v>297</v>
      </c>
      <c r="G17" s="78"/>
      <c r="H17" s="78" t="s">
        <v>295</v>
      </c>
      <c r="I17" s="93" t="s">
        <v>159</v>
      </c>
      <c r="J17" s="78" t="s">
        <v>298</v>
      </c>
      <c r="K17" s="264">
        <v>150000</v>
      </c>
      <c r="L17" s="93"/>
      <c r="M17" s="93"/>
      <c r="N17" s="123">
        <v>3599508</v>
      </c>
      <c r="O17" s="126">
        <f>N17*1.22</f>
        <v>4391399.76</v>
      </c>
    </row>
    <row r="18" spans="1:17" s="84" customFormat="1" ht="76.8" customHeight="1" x14ac:dyDescent="0.25">
      <c r="A18" s="357">
        <v>17</v>
      </c>
      <c r="B18" s="47" t="s">
        <v>90</v>
      </c>
      <c r="C18" s="68" t="s">
        <v>51</v>
      </c>
      <c r="D18" s="80" t="s">
        <v>92</v>
      </c>
      <c r="E18" s="80" t="s">
        <v>138</v>
      </c>
      <c r="F18" s="80" t="s">
        <v>260</v>
      </c>
      <c r="G18" s="77"/>
      <c r="H18" s="47" t="s">
        <v>117</v>
      </c>
      <c r="I18" s="47" t="s">
        <v>66</v>
      </c>
      <c r="J18" s="47" t="s">
        <v>137</v>
      </c>
      <c r="K18" s="267">
        <v>100000</v>
      </c>
      <c r="L18" s="39" t="s">
        <v>93</v>
      </c>
      <c r="M18" s="47">
        <v>9.1875</v>
      </c>
      <c r="N18" s="126">
        <f>K18*M18</f>
        <v>918750</v>
      </c>
      <c r="O18" s="96"/>
      <c r="P18"/>
      <c r="Q18" s="83"/>
    </row>
    <row r="19" spans="1:17" ht="76.8" customHeight="1" x14ac:dyDescent="0.25">
      <c r="A19" s="357">
        <v>18</v>
      </c>
      <c r="B19" s="39" t="s">
        <v>346</v>
      </c>
      <c r="C19" s="68" t="s">
        <v>51</v>
      </c>
      <c r="D19" s="47" t="s">
        <v>111</v>
      </c>
      <c r="E19" s="80" t="s">
        <v>241</v>
      </c>
      <c r="F19" s="81" t="s">
        <v>262</v>
      </c>
      <c r="G19" s="95"/>
      <c r="H19" s="82" t="s">
        <v>105</v>
      </c>
      <c r="I19" s="39" t="s">
        <v>66</v>
      </c>
      <c r="J19" s="39" t="s">
        <v>139</v>
      </c>
      <c r="K19" s="266">
        <v>20000</v>
      </c>
      <c r="L19" s="85" t="s">
        <v>381</v>
      </c>
      <c r="M19" s="39"/>
      <c r="N19" s="126">
        <v>478240.4</v>
      </c>
      <c r="O19" s="78"/>
      <c r="P19" s="67"/>
      <c r="Q19" s="67"/>
    </row>
    <row r="20" spans="1:17" ht="76.8" customHeight="1" x14ac:dyDescent="0.25">
      <c r="A20" s="357">
        <v>19</v>
      </c>
      <c r="B20" s="39" t="s">
        <v>142</v>
      </c>
      <c r="C20" s="68" t="s">
        <v>51</v>
      </c>
      <c r="D20" s="39" t="s">
        <v>143</v>
      </c>
      <c r="E20" s="39" t="s">
        <v>242</v>
      </c>
      <c r="F20" s="39" t="s">
        <v>263</v>
      </c>
      <c r="G20" s="78"/>
      <c r="H20" s="39" t="s">
        <v>102</v>
      </c>
      <c r="I20" s="39" t="s">
        <v>66</v>
      </c>
      <c r="J20" s="39" t="s">
        <v>122</v>
      </c>
      <c r="K20" s="266">
        <v>400000</v>
      </c>
      <c r="L20" s="39" t="s">
        <v>93</v>
      </c>
      <c r="M20" s="39">
        <f>N20/K20</f>
        <v>10.5</v>
      </c>
      <c r="N20" s="126">
        <v>4200000</v>
      </c>
      <c r="O20" s="78"/>
      <c r="P20" s="114"/>
      <c r="Q20" s="114"/>
    </row>
    <row r="21" spans="1:17" ht="76.8" customHeight="1" x14ac:dyDescent="0.25">
      <c r="A21" s="357">
        <v>20</v>
      </c>
      <c r="B21" s="47" t="s">
        <v>348</v>
      </c>
      <c r="C21" s="68" t="s">
        <v>51</v>
      </c>
      <c r="D21" s="47" t="s">
        <v>372</v>
      </c>
      <c r="E21" s="47" t="s">
        <v>427</v>
      </c>
      <c r="F21" s="47" t="s">
        <v>244</v>
      </c>
      <c r="G21" s="96"/>
      <c r="H21" s="47" t="s">
        <v>149</v>
      </c>
      <c r="I21" s="47" t="s">
        <v>195</v>
      </c>
      <c r="J21" s="47" t="s">
        <v>150</v>
      </c>
      <c r="K21" s="267">
        <v>125000</v>
      </c>
      <c r="L21" s="39" t="s">
        <v>93</v>
      </c>
      <c r="M21" s="124">
        <f>N21/K21</f>
        <v>12.8</v>
      </c>
      <c r="N21" s="125">
        <v>1600000</v>
      </c>
      <c r="O21" s="126">
        <f>N21/3.08</f>
        <v>519480.51948051946</v>
      </c>
      <c r="P21" s="114"/>
      <c r="Q21" s="114"/>
    </row>
    <row r="22" spans="1:17" s="121" customFormat="1" ht="76.8" customHeight="1" x14ac:dyDescent="0.25">
      <c r="A22" s="357">
        <v>21</v>
      </c>
      <c r="B22" s="47" t="s">
        <v>116</v>
      </c>
      <c r="C22" s="68" t="s">
        <v>51</v>
      </c>
      <c r="D22" s="47" t="s">
        <v>357</v>
      </c>
      <c r="E22" s="80" t="s">
        <v>145</v>
      </c>
      <c r="F22" s="80" t="s">
        <v>268</v>
      </c>
      <c r="G22" s="77"/>
      <c r="H22" s="47" t="s">
        <v>118</v>
      </c>
      <c r="I22" s="47" t="s">
        <v>66</v>
      </c>
      <c r="J22" s="47" t="s">
        <v>121</v>
      </c>
      <c r="K22" s="267">
        <v>200000</v>
      </c>
      <c r="L22" s="47"/>
      <c r="M22" s="123">
        <f>N22/K22</f>
        <v>2.89</v>
      </c>
      <c r="N22" s="123">
        <v>578000</v>
      </c>
      <c r="O22" s="126">
        <f>N22*1.22</f>
        <v>705160</v>
      </c>
      <c r="P22" s="120"/>
      <c r="Q22" s="120"/>
    </row>
    <row r="23" spans="1:17" ht="76.8" customHeight="1" x14ac:dyDescent="0.25">
      <c r="A23" s="357">
        <v>22</v>
      </c>
      <c r="B23" s="78" t="s">
        <v>353</v>
      </c>
      <c r="C23" s="68" t="s">
        <v>51</v>
      </c>
      <c r="D23" s="350" t="s">
        <v>367</v>
      </c>
      <c r="E23" s="78" t="s">
        <v>292</v>
      </c>
      <c r="F23" s="93" t="s">
        <v>293</v>
      </c>
      <c r="G23" s="78"/>
      <c r="H23" s="78" t="s">
        <v>295</v>
      </c>
      <c r="I23" s="93" t="s">
        <v>159</v>
      </c>
      <c r="J23" s="78" t="s">
        <v>294</v>
      </c>
      <c r="K23" s="130">
        <v>240000</v>
      </c>
      <c r="L23" s="78"/>
      <c r="M23" s="93"/>
      <c r="N23" s="123">
        <v>253500</v>
      </c>
      <c r="O23" s="126">
        <f>N23*1.22</f>
        <v>309270</v>
      </c>
    </row>
    <row r="24" spans="1:17" ht="76.8" customHeight="1" x14ac:dyDescent="0.25">
      <c r="A24" s="357">
        <v>23</v>
      </c>
      <c r="B24" s="47" t="s">
        <v>73</v>
      </c>
      <c r="C24" s="68" t="s">
        <v>51</v>
      </c>
      <c r="D24" s="47" t="s">
        <v>83</v>
      </c>
      <c r="E24" s="47" t="s">
        <v>362</v>
      </c>
      <c r="F24" s="47" t="s">
        <v>361</v>
      </c>
      <c r="G24" s="96"/>
      <c r="H24" s="39" t="s">
        <v>249</v>
      </c>
      <c r="I24" s="47" t="s">
        <v>66</v>
      </c>
      <c r="J24" s="47" t="s">
        <v>192</v>
      </c>
      <c r="K24" s="267">
        <v>50000</v>
      </c>
      <c r="L24" s="39" t="s">
        <v>93</v>
      </c>
      <c r="M24" s="40"/>
      <c r="N24" s="126">
        <v>363000</v>
      </c>
      <c r="O24" s="93"/>
    </row>
    <row r="25" spans="1:17" ht="76.8" customHeight="1" x14ac:dyDescent="0.25">
      <c r="A25" s="357">
        <v>24</v>
      </c>
      <c r="B25" s="47" t="s">
        <v>351</v>
      </c>
      <c r="C25" s="68" t="s">
        <v>51</v>
      </c>
      <c r="D25" s="47" t="s">
        <v>360</v>
      </c>
      <c r="E25" s="47" t="s">
        <v>248</v>
      </c>
      <c r="F25" s="47" t="s">
        <v>272</v>
      </c>
      <c r="G25" s="96"/>
      <c r="H25" s="47" t="s">
        <v>186</v>
      </c>
      <c r="I25" s="88" t="s">
        <v>159</v>
      </c>
      <c r="J25" s="47" t="s">
        <v>187</v>
      </c>
      <c r="K25" s="269">
        <v>1</v>
      </c>
      <c r="L25" s="39" t="s">
        <v>93</v>
      </c>
      <c r="M25" s="88"/>
      <c r="N25" s="123">
        <v>88000</v>
      </c>
      <c r="O25" s="126">
        <f>N25*1.22</f>
        <v>107360</v>
      </c>
    </row>
    <row r="26" spans="1:17" ht="76.8" customHeight="1" x14ac:dyDescent="0.25">
      <c r="A26" s="357">
        <v>25</v>
      </c>
      <c r="B26" s="47" t="s">
        <v>363</v>
      </c>
      <c r="C26" s="68" t="s">
        <v>51</v>
      </c>
      <c r="D26" s="78" t="s">
        <v>92</v>
      </c>
      <c r="E26" s="47" t="s">
        <v>378</v>
      </c>
      <c r="F26" s="47" t="s">
        <v>270</v>
      </c>
      <c r="G26" s="96"/>
      <c r="H26" s="39" t="s">
        <v>250</v>
      </c>
      <c r="I26" s="47" t="s">
        <v>66</v>
      </c>
      <c r="J26" s="39" t="s">
        <v>406</v>
      </c>
      <c r="K26" s="267">
        <v>400000</v>
      </c>
      <c r="L26" s="39" t="s">
        <v>93</v>
      </c>
      <c r="M26" s="40"/>
      <c r="N26" s="126">
        <v>2068500</v>
      </c>
      <c r="O26" s="93"/>
    </row>
    <row r="27" spans="1:17" s="67" customFormat="1" ht="76.8" customHeight="1" x14ac:dyDescent="0.25">
      <c r="A27" s="357">
        <v>26</v>
      </c>
      <c r="B27" s="39" t="s">
        <v>358</v>
      </c>
      <c r="C27" s="68" t="s">
        <v>51</v>
      </c>
      <c r="D27" s="39" t="s">
        <v>359</v>
      </c>
      <c r="E27" s="39" t="s">
        <v>157</v>
      </c>
      <c r="F27" s="39" t="s">
        <v>270</v>
      </c>
      <c r="G27" s="78"/>
      <c r="H27" s="105" t="s">
        <v>158</v>
      </c>
      <c r="I27" s="39" t="s">
        <v>159</v>
      </c>
      <c r="J27" s="39" t="s">
        <v>349</v>
      </c>
      <c r="K27" s="266"/>
      <c r="L27" s="39" t="s">
        <v>93</v>
      </c>
      <c r="M27" s="39"/>
      <c r="N27" s="125">
        <v>184470</v>
      </c>
      <c r="O27" s="126">
        <f>N27/3.1546</f>
        <v>58476.510492613961</v>
      </c>
    </row>
    <row r="28" spans="1:17" ht="76.8" customHeight="1" x14ac:dyDescent="0.25">
      <c r="A28" s="357">
        <v>27</v>
      </c>
      <c r="B28" s="39" t="s">
        <v>352</v>
      </c>
      <c r="C28" s="68" t="s">
        <v>51</v>
      </c>
      <c r="D28" s="47" t="s">
        <v>375</v>
      </c>
      <c r="E28" s="39" t="s">
        <v>428</v>
      </c>
      <c r="F28" s="39" t="s">
        <v>252</v>
      </c>
      <c r="G28" s="78"/>
      <c r="H28" s="39" t="s">
        <v>253</v>
      </c>
      <c r="I28" s="40" t="s">
        <v>195</v>
      </c>
      <c r="J28" s="39" t="s">
        <v>198</v>
      </c>
      <c r="K28" s="266" t="s">
        <v>254</v>
      </c>
      <c r="L28" s="40"/>
      <c r="M28" s="40" t="s">
        <v>253</v>
      </c>
      <c r="N28" s="126">
        <v>328020</v>
      </c>
      <c r="O28" s="93"/>
    </row>
    <row r="29" spans="1:17" ht="76.8" customHeight="1" x14ac:dyDescent="0.25">
      <c r="A29" s="357">
        <v>28</v>
      </c>
      <c r="B29" s="68" t="s">
        <v>176</v>
      </c>
      <c r="C29" s="68" t="s">
        <v>350</v>
      </c>
      <c r="D29" s="86" t="s">
        <v>177</v>
      </c>
      <c r="E29" s="86" t="s">
        <v>457</v>
      </c>
      <c r="F29" s="86" t="s">
        <v>246</v>
      </c>
      <c r="G29" s="86"/>
      <c r="H29" s="86" t="s">
        <v>177</v>
      </c>
      <c r="I29" s="40" t="s">
        <v>66</v>
      </c>
      <c r="J29" s="103" t="s">
        <v>179</v>
      </c>
      <c r="K29" s="31">
        <v>3000000</v>
      </c>
      <c r="L29" s="40"/>
      <c r="M29" s="30">
        <f>0.203</f>
        <v>0.20300000000000001</v>
      </c>
      <c r="N29" s="126">
        <v>618000</v>
      </c>
      <c r="O29" s="93"/>
    </row>
    <row r="30" spans="1:17" ht="76.8" customHeight="1" x14ac:dyDescent="0.25">
      <c r="A30" s="357">
        <v>29</v>
      </c>
      <c r="B30" s="78" t="s">
        <v>285</v>
      </c>
      <c r="C30" s="68" t="s">
        <v>51</v>
      </c>
      <c r="D30" s="78" t="s">
        <v>152</v>
      </c>
      <c r="E30" s="78" t="s">
        <v>283</v>
      </c>
      <c r="F30" s="93" t="s">
        <v>284</v>
      </c>
      <c r="G30" s="93"/>
      <c r="H30" s="78"/>
      <c r="I30" s="93" t="s">
        <v>159</v>
      </c>
      <c r="J30" s="78" t="s">
        <v>286</v>
      </c>
      <c r="K30" s="264"/>
      <c r="L30" s="93"/>
      <c r="M30" s="93"/>
      <c r="N30" s="126">
        <v>6185998</v>
      </c>
      <c r="O30" s="93"/>
    </row>
    <row r="31" spans="1:17" ht="76.8" customHeight="1" x14ac:dyDescent="0.25">
      <c r="A31" s="357">
        <v>30</v>
      </c>
      <c r="B31" s="47" t="s">
        <v>68</v>
      </c>
      <c r="C31" s="68" t="s">
        <v>350</v>
      </c>
      <c r="D31" s="47" t="s">
        <v>182</v>
      </c>
      <c r="E31" s="47" t="s">
        <v>377</v>
      </c>
      <c r="F31" s="47" t="s">
        <v>246</v>
      </c>
      <c r="G31" s="96"/>
      <c r="H31" s="47" t="s">
        <v>247</v>
      </c>
      <c r="I31" s="30" t="s">
        <v>66</v>
      </c>
      <c r="J31" s="87" t="s">
        <v>181</v>
      </c>
      <c r="K31" s="267">
        <v>40000</v>
      </c>
      <c r="L31" s="40"/>
      <c r="M31" s="88">
        <v>1.18</v>
      </c>
      <c r="N31" s="126">
        <v>48400</v>
      </c>
      <c r="O31" s="93"/>
    </row>
    <row r="32" spans="1:17" ht="76.8" customHeight="1" x14ac:dyDescent="0.25">
      <c r="A32" s="357">
        <v>31</v>
      </c>
      <c r="B32" s="47" t="s">
        <v>35</v>
      </c>
      <c r="C32" s="68" t="s">
        <v>167</v>
      </c>
      <c r="D32" s="47" t="s">
        <v>374</v>
      </c>
      <c r="E32" s="103" t="s">
        <v>251</v>
      </c>
      <c r="F32" s="30" t="s">
        <v>166</v>
      </c>
      <c r="G32" s="30"/>
      <c r="H32" s="39" t="s">
        <v>197</v>
      </c>
      <c r="I32" s="40" t="s">
        <v>195</v>
      </c>
      <c r="J32" s="89" t="s">
        <v>194</v>
      </c>
      <c r="K32" s="266" t="s">
        <v>165</v>
      </c>
      <c r="L32" s="40"/>
      <c r="M32" s="40"/>
      <c r="N32" s="126">
        <v>379240</v>
      </c>
      <c r="O32" s="93"/>
    </row>
    <row r="33" spans="1:18" ht="76.8" customHeight="1" x14ac:dyDescent="0.25">
      <c r="A33" s="357">
        <v>32</v>
      </c>
      <c r="B33" s="39" t="s">
        <v>255</v>
      </c>
      <c r="C33" s="68" t="s">
        <v>51</v>
      </c>
      <c r="D33" s="108" t="s">
        <v>204</v>
      </c>
      <c r="E33" s="39" t="s">
        <v>429</v>
      </c>
      <c r="F33" s="39" t="s">
        <v>203</v>
      </c>
      <c r="G33" s="78"/>
      <c r="H33" s="39" t="s">
        <v>233</v>
      </c>
      <c r="I33" s="40" t="s">
        <v>379</v>
      </c>
      <c r="J33" s="104" t="s">
        <v>202</v>
      </c>
      <c r="K33" s="44" t="s">
        <v>380</v>
      </c>
      <c r="L33" s="39" t="s">
        <v>93</v>
      </c>
      <c r="M33" s="40"/>
      <c r="N33" s="126">
        <v>6250</v>
      </c>
      <c r="O33" s="122"/>
    </row>
    <row r="34" spans="1:18" ht="76.8" customHeight="1" x14ac:dyDescent="0.25">
      <c r="A34" s="357">
        <v>33</v>
      </c>
      <c r="B34" s="39" t="s">
        <v>279</v>
      </c>
      <c r="C34" s="68" t="s">
        <v>51</v>
      </c>
      <c r="D34" s="108" t="s">
        <v>201</v>
      </c>
      <c r="E34" s="39" t="s">
        <v>430</v>
      </c>
      <c r="F34" s="39" t="s">
        <v>203</v>
      </c>
      <c r="G34" s="78"/>
      <c r="H34" s="39" t="s">
        <v>233</v>
      </c>
      <c r="I34" s="40" t="s">
        <v>379</v>
      </c>
      <c r="J34" s="104" t="s">
        <v>258</v>
      </c>
      <c r="K34" s="44" t="s">
        <v>380</v>
      </c>
      <c r="L34" s="39" t="s">
        <v>93</v>
      </c>
      <c r="M34" s="40"/>
      <c r="N34" s="126">
        <v>3125</v>
      </c>
      <c r="O34" s="122"/>
    </row>
    <row r="35" spans="1:18" ht="76.8" customHeight="1" x14ac:dyDescent="0.25">
      <c r="A35" s="357">
        <v>34</v>
      </c>
      <c r="B35" s="78" t="s">
        <v>303</v>
      </c>
      <c r="C35" s="68" t="s">
        <v>51</v>
      </c>
      <c r="D35" s="78" t="s">
        <v>302</v>
      </c>
      <c r="E35" s="78" t="s">
        <v>301</v>
      </c>
      <c r="F35" s="78" t="s">
        <v>304</v>
      </c>
      <c r="G35" s="78"/>
      <c r="H35" s="78" t="s">
        <v>307</v>
      </c>
      <c r="I35" s="93" t="s">
        <v>66</v>
      </c>
      <c r="J35" s="78" t="s">
        <v>306</v>
      </c>
      <c r="K35" s="130"/>
      <c r="L35" s="93"/>
      <c r="M35" s="93"/>
      <c r="N35" s="123">
        <v>1900000</v>
      </c>
      <c r="O35" s="126">
        <f>N35*1.19</f>
        <v>2261000</v>
      </c>
    </row>
    <row r="36" spans="1:18" ht="76.8" customHeight="1" x14ac:dyDescent="0.25">
      <c r="A36" s="357">
        <v>35</v>
      </c>
      <c r="B36" s="78" t="s">
        <v>278</v>
      </c>
      <c r="C36" s="68" t="s">
        <v>51</v>
      </c>
      <c r="D36" s="78" t="s">
        <v>365</v>
      </c>
      <c r="E36" s="39" t="s">
        <v>276</v>
      </c>
      <c r="F36" s="93" t="s">
        <v>277</v>
      </c>
      <c r="G36" s="78"/>
      <c r="H36" s="78" t="s">
        <v>282</v>
      </c>
      <c r="I36" s="93" t="s">
        <v>159</v>
      </c>
      <c r="J36" s="78" t="s">
        <v>458</v>
      </c>
      <c r="K36" s="264" t="s">
        <v>281</v>
      </c>
      <c r="L36" s="93"/>
      <c r="M36" s="93"/>
      <c r="N36" s="123">
        <v>522990</v>
      </c>
      <c r="O36" s="126">
        <f>N36*1.12</f>
        <v>585748.80000000005</v>
      </c>
      <c r="P36" s="9">
        <v>523314</v>
      </c>
      <c r="Q36" s="9">
        <f>P36*1.12</f>
        <v>586111.68000000005</v>
      </c>
    </row>
    <row r="37" spans="1:18" ht="76.8" customHeight="1" x14ac:dyDescent="0.25">
      <c r="A37" s="357">
        <v>36</v>
      </c>
      <c r="B37" s="78" t="s">
        <v>291</v>
      </c>
      <c r="C37" s="68" t="s">
        <v>51</v>
      </c>
      <c r="D37" s="78" t="s">
        <v>92</v>
      </c>
      <c r="E37" s="78" t="s">
        <v>288</v>
      </c>
      <c r="F37" s="93" t="s">
        <v>287</v>
      </c>
      <c r="G37" s="78"/>
      <c r="H37" s="78" t="s">
        <v>290</v>
      </c>
      <c r="I37" s="93" t="s">
        <v>66</v>
      </c>
      <c r="J37" s="78" t="s">
        <v>289</v>
      </c>
      <c r="K37" s="264">
        <v>500000</v>
      </c>
      <c r="L37" s="39" t="s">
        <v>93</v>
      </c>
      <c r="M37" s="93">
        <f>N37/K37</f>
        <v>5.3239999999999998</v>
      </c>
      <c r="N37" s="126">
        <v>2662000</v>
      </c>
      <c r="O37" s="93"/>
    </row>
    <row r="38" spans="1:18" ht="76.8" customHeight="1" x14ac:dyDescent="0.25">
      <c r="A38" s="357">
        <v>37</v>
      </c>
      <c r="B38" s="78" t="s">
        <v>311</v>
      </c>
      <c r="C38" s="68" t="s">
        <v>344</v>
      </c>
      <c r="D38" s="113" t="s">
        <v>63</v>
      </c>
      <c r="E38" s="78" t="s">
        <v>308</v>
      </c>
      <c r="F38" s="78" t="s">
        <v>309</v>
      </c>
      <c r="G38" s="78"/>
      <c r="H38" s="78" t="s">
        <v>312</v>
      </c>
      <c r="I38" s="93" t="s">
        <v>66</v>
      </c>
      <c r="J38" s="78" t="s">
        <v>310</v>
      </c>
      <c r="K38" s="130" t="s">
        <v>354</v>
      </c>
      <c r="L38" s="78"/>
      <c r="M38" s="78" t="s">
        <v>313</v>
      </c>
      <c r="N38" s="126">
        <v>802900</v>
      </c>
      <c r="O38" s="93"/>
    </row>
    <row r="39" spans="1:18" ht="76.8" customHeight="1" x14ac:dyDescent="0.25">
      <c r="A39" s="357">
        <v>38</v>
      </c>
      <c r="B39" s="78" t="s">
        <v>330</v>
      </c>
      <c r="C39" s="78" t="s">
        <v>337</v>
      </c>
      <c r="D39" s="78" t="s">
        <v>376</v>
      </c>
      <c r="E39" s="78" t="s">
        <v>333</v>
      </c>
      <c r="F39" s="93" t="s">
        <v>331</v>
      </c>
      <c r="G39" s="93"/>
      <c r="H39" s="78"/>
      <c r="I39" s="40" t="s">
        <v>379</v>
      </c>
      <c r="J39" s="78" t="s">
        <v>332</v>
      </c>
      <c r="K39" s="264" t="s">
        <v>380</v>
      </c>
      <c r="L39" s="93"/>
      <c r="M39" s="93"/>
      <c r="N39" s="126">
        <v>47200</v>
      </c>
      <c r="O39" s="93"/>
    </row>
    <row r="40" spans="1:18" ht="76.8" customHeight="1" x14ac:dyDescent="0.25">
      <c r="A40" s="357">
        <v>39</v>
      </c>
      <c r="B40" s="78" t="s">
        <v>334</v>
      </c>
      <c r="C40" s="78" t="s">
        <v>337</v>
      </c>
      <c r="D40" s="78" t="s">
        <v>335</v>
      </c>
      <c r="E40" s="78" t="s">
        <v>336</v>
      </c>
      <c r="F40" s="78" t="s">
        <v>293</v>
      </c>
      <c r="G40" s="93"/>
      <c r="H40" s="78"/>
      <c r="I40" s="40" t="s">
        <v>379</v>
      </c>
      <c r="J40" s="78" t="s">
        <v>299</v>
      </c>
      <c r="K40" s="264" t="s">
        <v>380</v>
      </c>
      <c r="L40" s="93"/>
      <c r="M40" s="93"/>
      <c r="N40" s="123">
        <v>75000</v>
      </c>
      <c r="O40" s="126">
        <f>N40*1.19</f>
        <v>89250</v>
      </c>
    </row>
    <row r="41" spans="1:18" s="341" customFormat="1" ht="76.8" customHeight="1" x14ac:dyDescent="0.25">
      <c r="A41" s="357">
        <v>40</v>
      </c>
      <c r="B41" s="338" t="s">
        <v>433</v>
      </c>
      <c r="C41" s="338" t="s">
        <v>51</v>
      </c>
      <c r="D41" s="346" t="s">
        <v>388</v>
      </c>
      <c r="E41" s="346" t="s">
        <v>401</v>
      </c>
      <c r="F41" s="346" t="s">
        <v>387</v>
      </c>
      <c r="G41" s="344" t="s">
        <v>379</v>
      </c>
      <c r="H41" s="337"/>
      <c r="I41" s="347" t="s">
        <v>379</v>
      </c>
      <c r="J41" s="337" t="s">
        <v>437</v>
      </c>
      <c r="K41" s="348"/>
      <c r="L41" s="339"/>
      <c r="M41" s="339"/>
      <c r="N41" s="349">
        <v>3957</v>
      </c>
      <c r="O41" s="339">
        <f>N41/3.25</f>
        <v>1217.5384615384614</v>
      </c>
    </row>
    <row r="42" spans="1:18" ht="76.8" customHeight="1" x14ac:dyDescent="0.25">
      <c r="A42" s="357">
        <v>41</v>
      </c>
      <c r="B42" s="68" t="s">
        <v>407</v>
      </c>
      <c r="C42" s="68" t="s">
        <v>51</v>
      </c>
      <c r="D42" s="127" t="s">
        <v>371</v>
      </c>
      <c r="E42" s="78" t="s">
        <v>405</v>
      </c>
      <c r="F42" s="127" t="s">
        <v>408</v>
      </c>
      <c r="G42" s="93" t="s">
        <v>416</v>
      </c>
      <c r="H42" s="78" t="s">
        <v>399</v>
      </c>
      <c r="I42" s="93" t="s">
        <v>195</v>
      </c>
      <c r="J42" s="78" t="s">
        <v>409</v>
      </c>
      <c r="K42" s="264"/>
      <c r="L42" s="93"/>
      <c r="M42" s="93"/>
      <c r="N42" s="93">
        <v>221169.2</v>
      </c>
      <c r="O42" s="93"/>
    </row>
    <row r="43" spans="1:18" ht="76.8" customHeight="1" x14ac:dyDescent="0.25">
      <c r="A43" s="357">
        <v>42</v>
      </c>
      <c r="B43" s="78" t="s">
        <v>324</v>
      </c>
      <c r="C43" s="68" t="s">
        <v>51</v>
      </c>
      <c r="D43" s="78" t="s">
        <v>382</v>
      </c>
      <c r="E43" s="78" t="s">
        <v>325</v>
      </c>
      <c r="F43" s="93" t="s">
        <v>326</v>
      </c>
      <c r="G43" s="93" t="s">
        <v>417</v>
      </c>
      <c r="H43" s="78" t="s">
        <v>327</v>
      </c>
      <c r="I43" s="93" t="s">
        <v>195</v>
      </c>
      <c r="J43" s="78" t="s">
        <v>328</v>
      </c>
      <c r="K43" s="264">
        <v>1000</v>
      </c>
      <c r="L43" s="93"/>
      <c r="M43" s="93"/>
      <c r="N43" s="126">
        <v>710000</v>
      </c>
      <c r="O43" s="93"/>
    </row>
    <row r="44" spans="1:18" ht="76.8" customHeight="1" x14ac:dyDescent="0.25">
      <c r="A44" s="357">
        <v>43</v>
      </c>
      <c r="B44" s="78" t="s">
        <v>291</v>
      </c>
      <c r="C44" s="68" t="s">
        <v>51</v>
      </c>
      <c r="D44" s="78" t="s">
        <v>92</v>
      </c>
      <c r="E44" s="78" t="s">
        <v>404</v>
      </c>
      <c r="F44" s="93" t="s">
        <v>412</v>
      </c>
      <c r="G44" s="93"/>
      <c r="H44" s="78" t="s">
        <v>290</v>
      </c>
      <c r="I44" s="93" t="s">
        <v>66</v>
      </c>
      <c r="J44" s="78" t="s">
        <v>409</v>
      </c>
      <c r="K44" s="264">
        <v>500000</v>
      </c>
      <c r="L44" s="93"/>
      <c r="M44" s="93">
        <v>5.3239999999999998</v>
      </c>
      <c r="N44" s="93">
        <f>K44*M44</f>
        <v>2662000</v>
      </c>
      <c r="O44" s="93"/>
      <c r="P44" s="9">
        <f>N10+N13+N18+N26+N37+N44</f>
        <v>9947850</v>
      </c>
      <c r="Q44" s="9">
        <f>K10+K13+K18+K26+K37+K44</f>
        <v>1747000</v>
      </c>
    </row>
    <row r="45" spans="1:18" ht="76.8" customHeight="1" x14ac:dyDescent="0.25">
      <c r="A45" s="357">
        <v>44</v>
      </c>
      <c r="B45" s="78" t="s">
        <v>411</v>
      </c>
      <c r="C45" s="68" t="s">
        <v>51</v>
      </c>
      <c r="D45" s="78" t="s">
        <v>382</v>
      </c>
      <c r="E45" s="78" t="s">
        <v>403</v>
      </c>
      <c r="F45" s="93" t="s">
        <v>410</v>
      </c>
      <c r="G45" s="93"/>
      <c r="H45" s="78" t="s">
        <v>442</v>
      </c>
      <c r="I45" s="93" t="s">
        <v>195</v>
      </c>
      <c r="J45" s="78" t="s">
        <v>415</v>
      </c>
      <c r="K45" s="130" t="s">
        <v>413</v>
      </c>
      <c r="L45" s="93"/>
      <c r="M45" s="93"/>
      <c r="N45" s="78" t="s">
        <v>414</v>
      </c>
      <c r="O45" s="93">
        <v>1702803</v>
      </c>
      <c r="R45" s="341">
        <f>N11+O14+N12+O27+O25+N28+O36+N30+N42+N43+O45</f>
        <v>11153289.110492613</v>
      </c>
    </row>
    <row r="46" spans="1:18" s="341" customFormat="1" ht="76.8" customHeight="1" x14ac:dyDescent="0.25">
      <c r="A46" s="357">
        <v>45</v>
      </c>
      <c r="B46" s="337" t="s">
        <v>434</v>
      </c>
      <c r="C46" s="338" t="s">
        <v>51</v>
      </c>
      <c r="D46" s="343" t="s">
        <v>436</v>
      </c>
      <c r="E46" s="337" t="s">
        <v>421</v>
      </c>
      <c r="F46" s="343" t="s">
        <v>432</v>
      </c>
      <c r="G46" s="344" t="s">
        <v>379</v>
      </c>
      <c r="H46" s="343"/>
      <c r="I46" s="344"/>
      <c r="J46" s="343" t="s">
        <v>438</v>
      </c>
      <c r="K46" s="345"/>
      <c r="L46" s="344"/>
      <c r="M46" s="344"/>
      <c r="N46" s="343"/>
      <c r="O46" s="344">
        <f>15000/P46</f>
        <v>4587.2962475916702</v>
      </c>
      <c r="P46" s="9">
        <v>3.2698999999999998</v>
      </c>
    </row>
    <row r="47" spans="1:18" ht="76.8" customHeight="1" x14ac:dyDescent="0.3">
      <c r="A47" s="374">
        <v>46</v>
      </c>
      <c r="B47" s="365" t="s">
        <v>424</v>
      </c>
      <c r="C47" s="366" t="s">
        <v>431</v>
      </c>
      <c r="D47" s="367" t="s">
        <v>443</v>
      </c>
      <c r="E47" s="365" t="s">
        <v>425</v>
      </c>
      <c r="F47" s="368" t="s">
        <v>432</v>
      </c>
      <c r="G47" s="369"/>
      <c r="H47" s="361" t="s">
        <v>444</v>
      </c>
      <c r="I47" s="368" t="s">
        <v>195</v>
      </c>
      <c r="J47" s="367" t="s">
        <v>445</v>
      </c>
      <c r="K47" s="370">
        <v>38</v>
      </c>
      <c r="L47" s="369"/>
      <c r="M47" s="369"/>
      <c r="N47" s="371">
        <v>2189340</v>
      </c>
      <c r="O47" s="93">
        <f>N47*1.19</f>
        <v>2605314.6</v>
      </c>
    </row>
    <row r="48" spans="1:18" ht="76.8" customHeight="1" x14ac:dyDescent="0.25">
      <c r="A48" s="374">
        <v>47</v>
      </c>
      <c r="B48" s="78" t="s">
        <v>448</v>
      </c>
      <c r="C48" s="96" t="s">
        <v>25</v>
      </c>
      <c r="D48" s="112" t="s">
        <v>447</v>
      </c>
      <c r="E48" s="78" t="s">
        <v>449</v>
      </c>
      <c r="F48" s="93" t="s">
        <v>450</v>
      </c>
      <c r="G48" s="97"/>
      <c r="H48" s="375" t="s">
        <v>451</v>
      </c>
      <c r="I48" s="368" t="s">
        <v>195</v>
      </c>
      <c r="J48" s="367" t="s">
        <v>452</v>
      </c>
      <c r="K48" s="336">
        <v>1</v>
      </c>
      <c r="L48" s="97"/>
      <c r="M48" s="97"/>
      <c r="N48" s="377">
        <v>268776</v>
      </c>
      <c r="O48" s="93">
        <f>N48/P48</f>
        <v>81769.394584727721</v>
      </c>
      <c r="P48" s="376">
        <v>3.2869999999999999</v>
      </c>
    </row>
    <row r="49" spans="1:16" ht="76.8" customHeight="1" x14ac:dyDescent="0.25">
      <c r="A49" s="374">
        <v>48</v>
      </c>
      <c r="B49" s="78" t="s">
        <v>453</v>
      </c>
      <c r="C49" s="96" t="s">
        <v>25</v>
      </c>
      <c r="D49" s="112" t="s">
        <v>454</v>
      </c>
      <c r="E49" s="78" t="s">
        <v>455</v>
      </c>
      <c r="F49" s="93" t="s">
        <v>450</v>
      </c>
      <c r="G49" s="97"/>
      <c r="H49" s="375" t="s">
        <v>456</v>
      </c>
      <c r="I49" s="93" t="s">
        <v>195</v>
      </c>
      <c r="J49" s="112" t="s">
        <v>452</v>
      </c>
      <c r="K49" s="336">
        <v>1</v>
      </c>
      <c r="L49" s="97"/>
      <c r="M49" s="97"/>
      <c r="N49" s="377">
        <v>566884</v>
      </c>
      <c r="O49" s="93">
        <f>N49/P49</f>
        <v>172462.42774566475</v>
      </c>
      <c r="P49" s="376">
        <v>3.2869999999999999</v>
      </c>
    </row>
    <row r="50" spans="1:16" s="121" customFormat="1" ht="84.6" customHeight="1" x14ac:dyDescent="0.25">
      <c r="A50" s="374">
        <v>49</v>
      </c>
      <c r="B50" s="351" t="s">
        <v>423</v>
      </c>
      <c r="C50" s="352" t="s">
        <v>51</v>
      </c>
      <c r="D50" s="352"/>
      <c r="E50" s="352" t="s">
        <v>422</v>
      </c>
      <c r="F50" s="372"/>
      <c r="G50" s="372"/>
      <c r="H50" s="352"/>
      <c r="I50" s="372"/>
      <c r="J50" s="352"/>
      <c r="K50" s="373"/>
      <c r="L50" s="372"/>
      <c r="M50" s="372"/>
      <c r="N50" s="372"/>
      <c r="O50" s="353"/>
    </row>
    <row r="51" spans="1:16" ht="76.8" customHeight="1" x14ac:dyDescent="0.25">
      <c r="A51" s="358"/>
      <c r="B51" s="78"/>
      <c r="C51" s="78"/>
      <c r="D51" s="78"/>
      <c r="E51" s="78"/>
      <c r="F51" s="93"/>
      <c r="G51" s="93"/>
      <c r="H51" s="78"/>
      <c r="I51" s="93"/>
      <c r="J51" s="78"/>
      <c r="K51" s="264"/>
      <c r="L51" s="93"/>
      <c r="M51" s="93"/>
      <c r="N51" s="93"/>
      <c r="O51" s="93"/>
    </row>
    <row r="52" spans="1:16" ht="76.8" customHeight="1" x14ac:dyDescent="0.25">
      <c r="A52" s="358"/>
      <c r="B52" s="78"/>
      <c r="C52" s="78"/>
      <c r="D52" s="78"/>
      <c r="E52" s="78"/>
      <c r="F52" s="93"/>
      <c r="G52" s="93"/>
      <c r="H52" s="78"/>
      <c r="I52" s="93"/>
      <c r="J52" s="78"/>
      <c r="K52" s="264"/>
      <c r="L52" s="93"/>
      <c r="M52" s="93"/>
      <c r="N52" s="93"/>
      <c r="O52" s="93"/>
    </row>
    <row r="53" spans="1:16" ht="76.8" customHeight="1" x14ac:dyDescent="0.25">
      <c r="J53" s="102">
        <f>K13+K18+K37+K44+200000</f>
        <v>1350000</v>
      </c>
      <c r="L53" s="9">
        <f>K10+200000</f>
        <v>397000</v>
      </c>
    </row>
    <row r="54" spans="1:16" ht="76.8" customHeight="1" x14ac:dyDescent="0.25">
      <c r="K54" s="270">
        <f>K15+K21+K22+K24</f>
        <v>437500</v>
      </c>
    </row>
    <row r="55" spans="1:16" ht="76.8" customHeight="1" x14ac:dyDescent="0.25">
      <c r="L55" s="9">
        <f>K16+K17+K19+K20+K23</f>
        <v>1060000</v>
      </c>
    </row>
  </sheetData>
  <autoFilter ref="A1:R50">
    <filterColumn colId="5">
      <filters>
        <filter val="02.10.2020"/>
        <filter val="05.11.2020"/>
        <filter val="06.10.2020"/>
        <filter val="07.12.2020"/>
        <filter val="08.10.2020"/>
        <filter val="10.11.2020"/>
        <filter val="10.12.2020"/>
        <filter val="14.12.2020"/>
        <filter val="15.10.2020"/>
        <filter val="18.11.2020"/>
        <filter val="21.10.2020"/>
        <filter val="23.10.2020"/>
        <filter val="24.11.2020"/>
        <filter val="28.10.2020"/>
        <filter val="28.12.2020"/>
        <filter val="29.10.2020"/>
      </filters>
    </filterColumn>
  </autoFilter>
  <pageMargins left="0.7" right="0.7" top="0.75" bottom="0.75" header="0.3" footer="0.3"/>
  <pageSetup scale="18" orientation="portrait" r:id="rId1"/>
  <rowBreaks count="1" manualBreakCount="1">
    <brk id="52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TOTAL </vt:lpstr>
      <vt:lpstr> GOODS I</vt:lpstr>
      <vt:lpstr> WORKS I</vt:lpstr>
      <vt:lpstr> CS I </vt:lpstr>
      <vt:lpstr>CS COMP.III</vt:lpstr>
      <vt:lpstr>signed contracts</vt:lpstr>
      <vt:lpstr>' WORKS I'!Print_Area</vt:lpstr>
      <vt:lpstr>'signed contracts'!Print_Area</vt:lpstr>
      <vt:lpstr>'TOTAL '!Print_Area</vt:lpstr>
    </vt:vector>
  </TitlesOfParts>
  <Manager/>
  <Company>The World Bank 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wb323203</dc:creator>
  <cp:keywords/>
  <dc:description/>
  <cp:lastModifiedBy>Nino Kvernadze</cp:lastModifiedBy>
  <cp:lastPrinted>2020-07-20T08:40:14Z</cp:lastPrinted>
  <dcterms:created xsi:type="dcterms:W3CDTF">2008-08-01T19:30:21Z</dcterms:created>
  <dcterms:modified xsi:type="dcterms:W3CDTF">2021-01-15T19:25:16Z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